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KOMRAD\NABAVA _ PLANOVI 2015-2021\"/>
    </mc:Choice>
  </mc:AlternateContent>
  <xr:revisionPtr revIDLastSave="0" documentId="8_{A9EC6215-6ECD-4AD8-8018-77CAF6192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1" l="1"/>
  <c r="J61" i="1"/>
  <c r="K60" i="1"/>
  <c r="J60" i="1"/>
  <c r="F60" i="1"/>
  <c r="J43" i="1"/>
  <c r="J40" i="1"/>
  <c r="J68" i="1"/>
  <c r="J69" i="1"/>
  <c r="J70" i="1"/>
  <c r="I72" i="1"/>
  <c r="H72" i="1"/>
  <c r="F72" i="1"/>
  <c r="E72" i="1"/>
  <c r="D72" i="1"/>
  <c r="C72" i="1"/>
  <c r="K71" i="1"/>
  <c r="K72" i="1" s="1"/>
  <c r="J71" i="1"/>
  <c r="G71" i="1"/>
  <c r="G72" i="1" s="1"/>
  <c r="C62" i="1"/>
  <c r="F32" i="1"/>
  <c r="E32" i="1"/>
  <c r="I45" i="1"/>
  <c r="H45" i="1"/>
  <c r="D45" i="1"/>
  <c r="H62" i="1"/>
  <c r="F62" i="1"/>
  <c r="K44" i="1"/>
  <c r="J44" i="1"/>
  <c r="G44" i="1"/>
  <c r="K59" i="1"/>
  <c r="J59" i="1"/>
  <c r="K31" i="1"/>
  <c r="J31" i="1"/>
  <c r="K14" i="1"/>
  <c r="J14" i="1"/>
  <c r="G14" i="1"/>
  <c r="G45" i="1"/>
  <c r="K39" i="1"/>
  <c r="J39" i="1"/>
  <c r="F39" i="1"/>
  <c r="C45" i="1"/>
  <c r="I29" i="1"/>
  <c r="K29" i="1"/>
  <c r="J29" i="1"/>
  <c r="J9" i="1"/>
  <c r="I24" i="1"/>
  <c r="K23" i="1"/>
  <c r="J23" i="1"/>
  <c r="D23" i="1"/>
  <c r="G23" i="1" s="1"/>
  <c r="I25" i="1"/>
  <c r="K24" i="1"/>
  <c r="J24" i="1"/>
  <c r="K57" i="1"/>
  <c r="J57" i="1"/>
  <c r="K42" i="1"/>
  <c r="J42" i="1"/>
  <c r="K58" i="1"/>
  <c r="J58" i="1"/>
  <c r="K56" i="1"/>
  <c r="J56" i="1"/>
  <c r="I56" i="1"/>
  <c r="J55" i="1"/>
  <c r="I58" i="1"/>
  <c r="I51" i="1"/>
  <c r="G50" i="1"/>
  <c r="G62" i="1" s="1"/>
  <c r="E55" i="1"/>
  <c r="J54" i="1"/>
  <c r="E54" i="1"/>
  <c r="J53" i="1"/>
  <c r="D53" i="1"/>
  <c r="K52" i="1"/>
  <c r="J52" i="1"/>
  <c r="E52" i="1"/>
  <c r="K51" i="1"/>
  <c r="J51" i="1"/>
  <c r="K50" i="1"/>
  <c r="J50" i="1"/>
  <c r="K49" i="1"/>
  <c r="J49" i="1"/>
  <c r="F10" i="1"/>
  <c r="K41" i="1"/>
  <c r="J41" i="1"/>
  <c r="E41" i="1"/>
  <c r="E45" i="1" s="1"/>
  <c r="K38" i="1"/>
  <c r="J38" i="1"/>
  <c r="F38" i="1"/>
  <c r="C20" i="1"/>
  <c r="J20" i="1" s="1"/>
  <c r="C19" i="1"/>
  <c r="G19" i="1" s="1"/>
  <c r="J30" i="1"/>
  <c r="K28" i="1"/>
  <c r="J28" i="1"/>
  <c r="I28" i="1"/>
  <c r="K25" i="1"/>
  <c r="J25" i="1"/>
  <c r="K27" i="1"/>
  <c r="J27" i="1"/>
  <c r="K26" i="1"/>
  <c r="J26" i="1"/>
  <c r="I27" i="1"/>
  <c r="I30" i="1"/>
  <c r="D26" i="1"/>
  <c r="H26" i="1" s="1"/>
  <c r="H32" i="1" s="1"/>
  <c r="J72" i="1" l="1"/>
  <c r="J19" i="1"/>
  <c r="D62" i="1"/>
  <c r="D64" i="1" s="1"/>
  <c r="K19" i="1"/>
  <c r="E62" i="1"/>
  <c r="E64" i="1" s="1"/>
  <c r="H64" i="1"/>
  <c r="J45" i="1"/>
  <c r="K45" i="1"/>
  <c r="K62" i="1"/>
  <c r="I62" i="1"/>
  <c r="I64" i="1" s="1"/>
  <c r="C64" i="1"/>
  <c r="J62" i="1"/>
  <c r="F45" i="1"/>
  <c r="F64" i="1" s="1"/>
  <c r="G64" i="1"/>
  <c r="K21" i="1"/>
  <c r="J21" i="1"/>
  <c r="C22" i="1"/>
  <c r="K22" i="1" s="1"/>
  <c r="D21" i="1"/>
  <c r="J15" i="1"/>
  <c r="K13" i="1"/>
  <c r="J13" i="1"/>
  <c r="J12" i="1"/>
  <c r="K11" i="1"/>
  <c r="J11" i="1"/>
  <c r="J10" i="1"/>
  <c r="H12" i="1"/>
  <c r="H16" i="1" s="1"/>
  <c r="H34" i="1" s="1"/>
  <c r="H74" i="1" l="1"/>
  <c r="J64" i="1"/>
  <c r="K64" i="1"/>
  <c r="I21" i="1"/>
  <c r="I32" i="1" s="1"/>
  <c r="K32" i="1"/>
  <c r="C32" i="1"/>
  <c r="J22" i="1"/>
  <c r="J32" i="1" s="1"/>
  <c r="F16" i="1"/>
  <c r="F34" i="1" s="1"/>
  <c r="F74" i="1" s="1"/>
  <c r="D22" i="1"/>
  <c r="D32" i="1" s="1"/>
  <c r="J16" i="1" l="1"/>
  <c r="J34" i="1" s="1"/>
  <c r="J74" i="1" s="1"/>
  <c r="I16" i="1"/>
  <c r="I34" i="1" s="1"/>
  <c r="I74" i="1" s="1"/>
  <c r="G16" i="1"/>
  <c r="K16" i="1" l="1"/>
  <c r="K34" i="1" s="1"/>
  <c r="K74" i="1" s="1"/>
  <c r="C16" i="1"/>
  <c r="G20" i="1"/>
  <c r="G32" i="1" s="1"/>
  <c r="G34" i="1" s="1"/>
  <c r="G74" i="1" s="1"/>
  <c r="D16" i="1" l="1"/>
  <c r="E16" i="1" l="1"/>
  <c r="E34" i="1" s="1"/>
  <c r="E74" i="1" s="1"/>
  <c r="D34" i="1"/>
  <c r="D74" i="1" s="1"/>
  <c r="C34" i="1"/>
  <c r="C74" i="1" s="1"/>
</calcChain>
</file>

<file path=xl/sharedStrings.xml><?xml version="1.0" encoding="utf-8"?>
<sst xmlns="http://schemas.openxmlformats.org/spreadsheetml/2006/main" count="151" uniqueCount="82">
  <si>
    <t>r.br.</t>
  </si>
  <si>
    <t>Naziv investicije</t>
  </si>
  <si>
    <t xml:space="preserve"> </t>
  </si>
  <si>
    <t>Vrijednost investicije (Kn)</t>
  </si>
  <si>
    <t>OPISI</t>
  </si>
  <si>
    <t>ODVODNJA - PROJEKTIRANJE</t>
  </si>
  <si>
    <t xml:space="preserve">ODVODNJA   - IZGRADNJA </t>
  </si>
  <si>
    <t>Ukupno:</t>
  </si>
  <si>
    <t>potrebno provesti nabavu</t>
  </si>
  <si>
    <t xml:space="preserve">Izvođač-Infratera Kutina
uključeni svi administrativni troškovi </t>
  </si>
  <si>
    <t xml:space="preserve">Direktor: </t>
  </si>
  <si>
    <t>Mr.sc. Mato Miličić dipl.ing.polj.</t>
  </si>
  <si>
    <t>tehnički direktor Antun Srbić dipl.ing.el.</t>
  </si>
  <si>
    <t xml:space="preserve">sastavio:  </t>
  </si>
  <si>
    <t xml:space="preserve">Novelacija projekta UPOVa Podr.Moslavina  sa ispustom u Dravu i izradom varijantnih rješenja </t>
  </si>
  <si>
    <t>Projektna dokumentacija kanalizacije u Krčeniku</t>
  </si>
  <si>
    <t>Izgradnja kanalizacijskog sustava u Podr. Moslavini</t>
  </si>
  <si>
    <t>Izgradnja kanalizacije u Novoj Bukovici</t>
  </si>
  <si>
    <t xml:space="preserve">Novelacija projekta UPOVa Nova Bukovica s izradom varijantnih rješenja prema kombiniranom pristupu </t>
  </si>
  <si>
    <t xml:space="preserve">Novelacija projekta UPOVa Čađavica sa Elaboratom zaštite okoliša  </t>
  </si>
  <si>
    <t>EU PROJEKT AGLOMERACIJE SLATINA (do kraja 2023.g.), Financira se EU sredstvima</t>
  </si>
  <si>
    <t xml:space="preserve">Planira se izgradnja po EU projektu - Aglomeracija Slatine - do  2023 </t>
  </si>
  <si>
    <t>KOMRAD d.o.o.</t>
  </si>
  <si>
    <t>Slatina, B.Radić 2, OIB: 9637643037</t>
  </si>
  <si>
    <t>Projektiranje Kanalizacije u Sopju i Sopjanskoj  gredi  (idejni, glavni, izvedbeni projekt + Elaborat Zaštite Okoliša)</t>
  </si>
  <si>
    <t xml:space="preserve">Izvodi- IGH institut
</t>
  </si>
  <si>
    <t xml:space="preserve">Ur. broj: </t>
  </si>
  <si>
    <t>Izgradnja  kanalizacije FAZE 2  u Voćinu</t>
  </si>
  <si>
    <t>U Slatini 20.06.2022.</t>
  </si>
  <si>
    <t>Financiranje KOMRAD, JLS iz sredstava naknade za razvoj i proračuna</t>
  </si>
  <si>
    <t xml:space="preserve">  Realizirano do 31.12. 2021. (Kn)</t>
  </si>
  <si>
    <t>Izgradnja kanalizacijskog sustava u Sopju i Sopjanskoj Gredi, s UPOVom</t>
  </si>
  <si>
    <t>Izgradnja kanalizacijskog sustava u Mikleušu i Boriku, s UPOVom</t>
  </si>
  <si>
    <t xml:space="preserve">Izgradnja priključnog kanalizacijskog cjevovoda za Sekvoju </t>
  </si>
  <si>
    <t>VODOOPSKRBA- PROJEKTIRANJE</t>
  </si>
  <si>
    <t>Financiranje Hrv. Vode, Ministarstva, EU i ostali</t>
  </si>
  <si>
    <t>1a</t>
  </si>
  <si>
    <t>Projektiranje vodovoda Slatina-IvanBrijeg-Golenić, s ishodovanjem lokacijske i građevinske dozvole geodetskim elaboratom</t>
  </si>
  <si>
    <t xml:space="preserve">Izrada Koncepcijskog rješenja vodoopskrbnog sustava radi smanjenja gubitaka sa recenzijom </t>
  </si>
  <si>
    <t>Izrada projektne dokumentacije dijela naselja Novaki-ulica Marka Bošnjaka (Zidina)</t>
  </si>
  <si>
    <t>Izgradnja vodovoda Hum, Hum Varoš sa uslugama nadzora</t>
  </si>
  <si>
    <t>Izgradnja priključnog voda do Sladojevaca-Mlinska ulica</t>
  </si>
  <si>
    <t>Izgradnja priključnog voda u Jorgićima</t>
  </si>
  <si>
    <t>VODOOPSKRBA- IZGRADNJA</t>
  </si>
  <si>
    <t>Izgradnja vodovoda Slatina-IvanBrijeg-Golenić</t>
  </si>
  <si>
    <t>Izgradnja vodovoda Novačka Đota- Zidine</t>
  </si>
  <si>
    <t>Automatizacija vodocrpilšta Medinci</t>
  </si>
  <si>
    <t>Investicije u smanjenje gubitaka, DMA zone, upravljanje zasunima…</t>
  </si>
  <si>
    <t>Izgradnja vodopskrbnog sustava brdskog dijela Slatine</t>
  </si>
  <si>
    <t>Izgradnja vodovoda Gornje Viljevo - Donja Bukovica</t>
  </si>
  <si>
    <t>Izgradnja  kanalizacije u Ćeralijama</t>
  </si>
  <si>
    <t>Izgradnja  kanalizacije FAZE 3, 4 i 5 u Voćinu</t>
  </si>
  <si>
    <t>Glavni projekt UPOV Brezik  s ishodovanjem Građevinsk dozvole</t>
  </si>
  <si>
    <t>Revizije glavnog projekta UPOV Slatina</t>
  </si>
  <si>
    <t>Izgradnja kanalizacije u Čađavici</t>
  </si>
  <si>
    <t>Izgradnja kanalizacijskog sustava u Miholjačkom Krčeniku</t>
  </si>
  <si>
    <t>Izrada Projektog rješenja NUSa za kanalizacijski sustav</t>
  </si>
  <si>
    <t>Izrada NUSa za kanalizacijski sustav</t>
  </si>
  <si>
    <t>Izrada NUSa za vodoopskrbni sustav</t>
  </si>
  <si>
    <t>Izrada Projektog rješenja NUSa za vodoopskrbni sustav</t>
  </si>
  <si>
    <t xml:space="preserve">UKUPNO KANALIZACIJA: </t>
  </si>
  <si>
    <t>PLAN VEĆIH INVESTICIJSKIH ULAGANJA  I GRADNJA OSTALIH GRAĐEVINA 2021. do 2026.g.</t>
  </si>
  <si>
    <t>Izvođenje strojarskih instalacija u Kolodvorskoj 3 u Slatini</t>
  </si>
  <si>
    <t>Evidentiranje izvedenog stanja ceste k.o.Lukavac</t>
  </si>
  <si>
    <t>Obnova bazena na vodocrpilištu Medinci</t>
  </si>
  <si>
    <t xml:space="preserve">Izrada glavnog građ.projekta vodovoda za turist-rekreacijskog kompleksa </t>
  </si>
  <si>
    <t xml:space="preserve">Rekonstrukcije i popravci: zgrada, krovišta, parkirališta, uređenje prostora u Kolodvrska 3 </t>
  </si>
  <si>
    <t xml:space="preserve">SVEUKUPNO : </t>
  </si>
  <si>
    <t>izvođač Vodoprivreda Daruvar  
Potvrda glavnog Projekta:
KLASA: 361 -03/11-01/31
URBROJ: 2189/1 -08/7 -11-5
Slatina, 21.06.2011.</t>
  </si>
  <si>
    <t xml:space="preserve">Izgradnja solarne elektrane na vodocrpilištu Medinci i Kolodvorska 3, punionice za el. auta, Slatina </t>
  </si>
  <si>
    <t xml:space="preserve"> PLANIRANO  2023  (kn)</t>
  </si>
  <si>
    <t xml:space="preserve"> PLANIRANO 2022  (kn)</t>
  </si>
  <si>
    <t xml:space="preserve"> PLANIRANO 2024  (kn)</t>
  </si>
  <si>
    <t xml:space="preserve"> PLANIRANO 2025  (kn)</t>
  </si>
  <si>
    <t xml:space="preserve"> PLANIRANO 2026  (kn)</t>
  </si>
  <si>
    <t xml:space="preserve"> Izrada NUSa za kanalizacijski sustav</t>
  </si>
  <si>
    <t>Projektiranje vodovoda Gornje Viljevo - Donja Bukovica, s ishodovanjem lokacijske, građevinske i geodetskim elaboratom</t>
  </si>
  <si>
    <t>Izgradnja Upravne zgrade Komrada, Kolodvorska 3, Slatina</t>
  </si>
  <si>
    <t xml:space="preserve">      PLAN GRADNJE KOMUNALNIH VODNIH GRAĐEVINA NA 
DISTRIBUTIVNOM PODRUČJU KOMRAD d.o.o. za razdoblje 2022. - 2026.g.</t>
  </si>
  <si>
    <t>Izgradnja priključnog voda u Voćinu( od Šoha)</t>
  </si>
  <si>
    <t>Izvođač Brana
Izmjena i dupuna Potvrde glavnog Projekta:
KLASA: 361 -03/16-02/7
URBROJ: 2158/1-01-13-01/18 -16-7 MM
Donji Miholjac, 04.10.2016.</t>
  </si>
  <si>
    <t>Izgradnja priključnog voda - M.Jirsaka , Slatina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</si>
</sst>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0" fillId="3" borderId="0" xfId="0" applyFill="1"/>
    <xf numFmtId="0" fontId="0" fillId="0" borderId="0" xfId="0" applyAlignment="1">
      <alignment vertical="center"/>
    </xf>
    <xf numFmtId="0" fontId="0" fillId="4" borderId="0" xfId="0" applyFill="1"/>
    <xf numFmtId="0" fontId="3" fillId="5" borderId="1" xfId="0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6" fillId="0" borderId="0" xfId="0" applyFont="1" applyBorder="1"/>
    <xf numFmtId="0" fontId="0" fillId="5" borderId="0" xfId="0" applyFill="1" applyBorder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6" fillId="4" borderId="0" xfId="0" applyFont="1" applyFill="1" applyBorder="1"/>
    <xf numFmtId="0" fontId="0" fillId="4" borderId="0" xfId="0" applyFill="1" applyBorder="1"/>
    <xf numFmtId="0" fontId="5" fillId="4" borderId="0" xfId="0" applyFont="1" applyFill="1" applyBorder="1"/>
    <xf numFmtId="0" fontId="0" fillId="4" borderId="0" xfId="0" applyFill="1" applyBorder="1" applyAlignment="1">
      <alignment wrapText="1"/>
    </xf>
    <xf numFmtId="0" fontId="2" fillId="4" borderId="0" xfId="1" applyFont="1" applyFill="1" applyBorder="1"/>
    <xf numFmtId="0" fontId="9" fillId="6" borderId="1" xfId="0" applyFont="1" applyFill="1" applyBorder="1" applyAlignment="1">
      <alignment vertical="center" wrapText="1"/>
    </xf>
    <xf numFmtId="0" fontId="0" fillId="0" borderId="0" xfId="0" applyAlignment="1"/>
    <xf numFmtId="0" fontId="4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right" vertical="center" wrapText="1"/>
    </xf>
    <xf numFmtId="4" fontId="2" fillId="6" borderId="1" xfId="1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3" fontId="9" fillId="7" borderId="1" xfId="0" applyNumberFormat="1" applyFont="1" applyFill="1" applyBorder="1" applyAlignment="1">
      <alignment vertical="center" wrapText="1"/>
    </xf>
    <xf numFmtId="4" fontId="14" fillId="7" borderId="1" xfId="0" applyNumberFormat="1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wrapText="1"/>
    </xf>
    <xf numFmtId="3" fontId="10" fillId="0" borderId="2" xfId="0" applyNumberFormat="1" applyFont="1" applyFill="1" applyBorder="1" applyAlignment="1">
      <alignment wrapText="1"/>
    </xf>
    <xf numFmtId="3" fontId="10" fillId="0" borderId="1" xfId="0" applyNumberFormat="1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0" fillId="0" borderId="3" xfId="0" applyFont="1" applyFill="1" applyBorder="1" applyAlignment="1">
      <alignment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6" xfId="1" applyFont="1" applyFill="1" applyBorder="1" applyAlignment="1"/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15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3" fontId="10" fillId="0" borderId="7" xfId="0" applyNumberFormat="1" applyFont="1" applyFill="1" applyBorder="1" applyAlignment="1">
      <alignment vertical="center" wrapText="1"/>
    </xf>
    <xf numFmtId="3" fontId="10" fillId="0" borderId="7" xfId="0" applyNumberFormat="1" applyFont="1" applyFill="1" applyBorder="1" applyAlignment="1">
      <alignment wrapText="1"/>
    </xf>
    <xf numFmtId="4" fontId="3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4" fontId="18" fillId="0" borderId="9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4" fontId="19" fillId="0" borderId="0" xfId="0" applyNumberFormat="1" applyFont="1" applyAlignment="1">
      <alignment vertical="center"/>
    </xf>
    <xf numFmtId="4" fontId="18" fillId="0" borderId="12" xfId="0" applyNumberFormat="1" applyFont="1" applyBorder="1" applyAlignment="1">
      <alignment horizontal="right" vertical="center" wrapText="1"/>
    </xf>
    <xf numFmtId="0" fontId="3" fillId="5" borderId="8" xfId="0" applyFont="1" applyFill="1" applyBorder="1" applyAlignment="1">
      <alignment horizontal="right" vertical="center" wrapText="1"/>
    </xf>
    <xf numFmtId="4" fontId="2" fillId="6" borderId="13" xfId="1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" fontId="0" fillId="0" borderId="1" xfId="0" applyNumberFormat="1" applyBorder="1" applyAlignment="1">
      <alignment vertical="center"/>
    </xf>
    <xf numFmtId="0" fontId="9" fillId="6" borderId="13" xfId="0" applyFont="1" applyFill="1" applyBorder="1" applyAlignment="1">
      <alignment vertical="center" wrapText="1"/>
    </xf>
    <xf numFmtId="3" fontId="0" fillId="5" borderId="1" xfId="0" applyNumberFormat="1" applyFont="1" applyFill="1" applyBorder="1" applyAlignment="1">
      <alignment vertical="center" wrapText="1"/>
    </xf>
    <xf numFmtId="3" fontId="0" fillId="5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4" fontId="0" fillId="0" borderId="1" xfId="0" applyNumberFormat="1" applyFont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 wrapText="1"/>
    </xf>
    <xf numFmtId="0" fontId="5" fillId="8" borderId="3" xfId="0" applyFont="1" applyFill="1" applyBorder="1"/>
    <xf numFmtId="0" fontId="5" fillId="8" borderId="0" xfId="0" applyFont="1" applyFill="1" applyBorder="1"/>
    <xf numFmtId="0" fontId="8" fillId="0" borderId="0" xfId="0" applyFont="1" applyAlignment="1">
      <alignment vertical="center"/>
    </xf>
    <xf numFmtId="0" fontId="0" fillId="6" borderId="6" xfId="0" applyFill="1" applyBorder="1" applyAlignment="1"/>
    <xf numFmtId="0" fontId="0" fillId="6" borderId="0" xfId="0" applyFill="1" applyAlignment="1"/>
    <xf numFmtId="0" fontId="0" fillId="6" borderId="0" xfId="0" applyFill="1" applyBorder="1" applyAlignment="1"/>
    <xf numFmtId="0" fontId="0" fillId="0" borderId="1" xfId="0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3" fontId="19" fillId="5" borderId="1" xfId="0" applyNumberFormat="1" applyFont="1" applyFill="1" applyBorder="1" applyAlignment="1">
      <alignment vertical="center" wrapText="1"/>
    </xf>
    <xf numFmtId="3" fontId="19" fillId="5" borderId="1" xfId="0" applyNumberFormat="1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right" vertical="center" wrapText="1"/>
    </xf>
    <xf numFmtId="0" fontId="23" fillId="0" borderId="10" xfId="0" applyFont="1" applyBorder="1" applyAlignment="1">
      <alignment vertical="center" wrapText="1"/>
    </xf>
    <xf numFmtId="0" fontId="19" fillId="6" borderId="8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0" fontId="19" fillId="6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4" fontId="19" fillId="5" borderId="1" xfId="0" applyNumberFormat="1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vertical="center"/>
    </xf>
    <xf numFmtId="4" fontId="24" fillId="6" borderId="1" xfId="1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vertical="center" wrapText="1"/>
    </xf>
    <xf numFmtId="4" fontId="4" fillId="6" borderId="1" xfId="1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4" fillId="0" borderId="6" xfId="1" applyFont="1" applyFill="1" applyBorder="1" applyAlignment="1"/>
    <xf numFmtId="0" fontId="4" fillId="2" borderId="0" xfId="1" applyFont="1"/>
    <xf numFmtId="0" fontId="4" fillId="4" borderId="0" xfId="1" applyFont="1" applyFill="1" applyBorder="1"/>
    <xf numFmtId="0" fontId="11" fillId="0" borderId="0" xfId="0" applyFont="1" applyAlignment="1">
      <alignment vertical="center"/>
    </xf>
    <xf numFmtId="3" fontId="11" fillId="7" borderId="1" xfId="0" applyNumberFormat="1" applyFont="1" applyFill="1" applyBorder="1" applyAlignment="1">
      <alignment vertical="center" wrapText="1"/>
    </xf>
    <xf numFmtId="4" fontId="12" fillId="7" borderId="1" xfId="0" applyNumberFormat="1" applyFont="1" applyFill="1" applyBorder="1" applyAlignment="1">
      <alignment vertical="center" wrapText="1"/>
    </xf>
    <xf numFmtId="0" fontId="11" fillId="0" borderId="4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4" borderId="0" xfId="0" applyFont="1" applyFill="1" applyBorder="1"/>
    <xf numFmtId="0" fontId="19" fillId="0" borderId="1" xfId="0" applyFont="1" applyBorder="1"/>
    <xf numFmtId="3" fontId="19" fillId="5" borderId="7" xfId="0" applyNumberFormat="1" applyFont="1" applyFill="1" applyBorder="1" applyAlignment="1">
      <alignment vertical="center" wrapText="1"/>
    </xf>
    <xf numFmtId="4" fontId="9" fillId="7" borderId="1" xfId="0" applyNumberFormat="1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vertical="center" wrapText="1"/>
    </xf>
    <xf numFmtId="4" fontId="4" fillId="6" borderId="13" xfId="1" applyNumberFormat="1" applyFont="1" applyFill="1" applyBorder="1" applyAlignment="1">
      <alignment horizontal="right" vertical="center" wrapText="1"/>
    </xf>
    <xf numFmtId="0" fontId="22" fillId="0" borderId="0" xfId="0" applyFont="1" applyAlignment="1"/>
    <xf numFmtId="0" fontId="8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3" fontId="19" fillId="5" borderId="8" xfId="0" applyNumberFormat="1" applyFont="1" applyFill="1" applyBorder="1" applyAlignment="1">
      <alignment vertical="center" wrapText="1"/>
    </xf>
    <xf numFmtId="3" fontId="19" fillId="5" borderId="8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3" fontId="5" fillId="5" borderId="1" xfId="0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19" fillId="5" borderId="7" xfId="0" applyNumberFormat="1" applyFont="1" applyFill="1" applyBorder="1" applyAlignment="1">
      <alignment horizontal="right" vertical="center" wrapText="1"/>
    </xf>
    <xf numFmtId="0" fontId="19" fillId="0" borderId="7" xfId="0" applyFont="1" applyBorder="1" applyAlignment="1">
      <alignment vertical="center"/>
    </xf>
    <xf numFmtId="4" fontId="18" fillId="0" borderId="7" xfId="0" applyNumberFormat="1" applyFont="1" applyBorder="1" applyAlignment="1">
      <alignment horizontal="right" vertical="center" wrapText="1"/>
    </xf>
    <xf numFmtId="4" fontId="18" fillId="0" borderId="7" xfId="0" applyNumberFormat="1" applyFont="1" applyBorder="1" applyAlignment="1">
      <alignment vertical="center" wrapText="1"/>
    </xf>
    <xf numFmtId="0" fontId="19" fillId="5" borderId="2" xfId="0" applyFont="1" applyFill="1" applyBorder="1" applyAlignment="1">
      <alignment vertical="center"/>
    </xf>
    <xf numFmtId="4" fontId="19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eutralno" xfId="1" builtinId="2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6"/>
  <sheetViews>
    <sheetView tabSelected="1" topLeftCell="A55" zoomScale="85" zoomScaleNormal="85" workbookViewId="0">
      <selection activeCell="E63" sqref="E63"/>
    </sheetView>
  </sheetViews>
  <sheetFormatPr defaultRowHeight="15" x14ac:dyDescent="0.25"/>
  <cols>
    <col min="1" max="1" width="3.7109375" style="4" customWidth="1"/>
    <col min="2" max="2" width="23.5703125" customWidth="1"/>
    <col min="3" max="3" width="14.28515625" customWidth="1"/>
    <col min="4" max="4" width="13" customWidth="1"/>
    <col min="5" max="5" width="11.5703125" customWidth="1"/>
    <col min="6" max="6" width="11.7109375" customWidth="1"/>
    <col min="7" max="7" width="11.28515625" customWidth="1"/>
    <col min="8" max="8" width="10.7109375" customWidth="1"/>
    <col min="9" max="9" width="11" customWidth="1"/>
    <col min="10" max="10" width="14.140625" customWidth="1"/>
    <col min="11" max="11" width="13.7109375" customWidth="1"/>
    <col min="12" max="12" width="16.85546875" style="1" customWidth="1"/>
    <col min="13" max="13" width="0.140625" customWidth="1"/>
    <col min="14" max="14" width="0.140625" hidden="1" customWidth="1"/>
    <col min="15" max="15" width="9.140625" hidden="1" customWidth="1"/>
    <col min="16" max="16" width="9" hidden="1" customWidth="1"/>
    <col min="17" max="17" width="9.140625" hidden="1" customWidth="1"/>
    <col min="19" max="19" width="12.7109375" bestFit="1" customWidth="1"/>
    <col min="21" max="21" width="11.7109375" bestFit="1" customWidth="1"/>
  </cols>
  <sheetData>
    <row r="1" spans="1:43" s="8" customFormat="1" ht="38.25" customHeight="1" x14ac:dyDescent="0.35">
      <c r="A1" s="40"/>
      <c r="B1" s="118" t="s">
        <v>22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35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43" s="8" customFormat="1" ht="19.5" customHeight="1" x14ac:dyDescent="0.3">
      <c r="A2" s="40"/>
      <c r="B2" s="136" t="s">
        <v>23</v>
      </c>
      <c r="C2" s="136"/>
      <c r="D2" s="136"/>
      <c r="E2" s="136"/>
      <c r="F2" s="46"/>
      <c r="G2" s="46"/>
      <c r="H2" s="51"/>
      <c r="I2" s="48"/>
      <c r="J2" s="48"/>
      <c r="K2" s="48"/>
      <c r="L2" s="41"/>
      <c r="M2" s="35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3" s="8" customFormat="1" ht="18.75" customHeight="1" x14ac:dyDescent="0.3">
      <c r="A3" s="40"/>
      <c r="B3" s="137" t="s">
        <v>28</v>
      </c>
      <c r="C3" s="137"/>
      <c r="D3" s="42"/>
      <c r="E3" s="42"/>
      <c r="F3" s="42"/>
      <c r="G3" s="42"/>
      <c r="H3" s="42"/>
      <c r="I3" s="42"/>
      <c r="J3" s="42"/>
      <c r="K3" s="42"/>
      <c r="L3" s="42"/>
      <c r="M3" s="35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43" s="8" customFormat="1" ht="15.75" customHeight="1" x14ac:dyDescent="0.3">
      <c r="A4" s="40"/>
      <c r="B4" s="137" t="s">
        <v>26</v>
      </c>
      <c r="C4" s="137"/>
      <c r="D4" s="42"/>
      <c r="E4" s="42"/>
      <c r="F4" s="42"/>
      <c r="G4" s="42"/>
      <c r="H4" s="42"/>
      <c r="I4" s="42"/>
      <c r="J4" s="42"/>
      <c r="K4" s="42"/>
      <c r="L4" s="42"/>
      <c r="M4" s="35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43" s="8" customFormat="1" ht="58.5" customHeight="1" x14ac:dyDescent="0.3">
      <c r="A5" s="141" t="s">
        <v>78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21"/>
      <c r="M5" s="35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pans="1:43" s="9" customFormat="1" ht="1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75" customFormat="1" ht="75.75" customHeight="1" x14ac:dyDescent="0.2">
      <c r="A7" s="94" t="s">
        <v>0</v>
      </c>
      <c r="B7" s="94" t="s">
        <v>1</v>
      </c>
      <c r="C7" s="95" t="s">
        <v>3</v>
      </c>
      <c r="D7" s="95" t="s">
        <v>30</v>
      </c>
      <c r="E7" s="95" t="s">
        <v>71</v>
      </c>
      <c r="F7" s="95" t="s">
        <v>70</v>
      </c>
      <c r="G7" s="95" t="s">
        <v>72</v>
      </c>
      <c r="H7" s="95" t="s">
        <v>73</v>
      </c>
      <c r="I7" s="95" t="s">
        <v>74</v>
      </c>
      <c r="J7" s="95" t="s">
        <v>29</v>
      </c>
      <c r="K7" s="95" t="s">
        <v>35</v>
      </c>
      <c r="L7" s="95" t="s">
        <v>4</v>
      </c>
      <c r="M7" s="83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</row>
    <row r="8" spans="1:43" s="3" customFormat="1" ht="45.75" customHeight="1" x14ac:dyDescent="0.25">
      <c r="A8" s="138" t="s">
        <v>5</v>
      </c>
      <c r="B8" s="139"/>
      <c r="C8" s="139"/>
      <c r="D8" s="139"/>
      <c r="E8" s="139"/>
      <c r="F8" s="139"/>
      <c r="G8" s="139"/>
      <c r="H8" s="139"/>
      <c r="I8" s="139"/>
      <c r="J8" s="139"/>
      <c r="K8" s="140"/>
      <c r="L8" s="120"/>
      <c r="M8" s="27"/>
      <c r="N8" s="27"/>
      <c r="O8" s="27"/>
      <c r="P8" s="27"/>
      <c r="Q8" s="27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5" customFormat="1" ht="48.75" customHeight="1" x14ac:dyDescent="0.25">
      <c r="A9" s="134">
        <v>1</v>
      </c>
      <c r="B9" s="24" t="s">
        <v>52</v>
      </c>
      <c r="C9" s="114">
        <v>100000</v>
      </c>
      <c r="D9" s="85">
        <v>0</v>
      </c>
      <c r="E9" s="86">
        <v>50000</v>
      </c>
      <c r="F9" s="86">
        <v>50000</v>
      </c>
      <c r="G9" s="86">
        <v>0</v>
      </c>
      <c r="H9" s="86">
        <v>0</v>
      </c>
      <c r="I9" s="86">
        <v>0</v>
      </c>
      <c r="J9" s="86">
        <f>C9</f>
        <v>100000</v>
      </c>
      <c r="K9" s="86" t="s">
        <v>2</v>
      </c>
      <c r="L9" s="87" t="s">
        <v>25</v>
      </c>
      <c r="M9" s="34"/>
      <c r="N9" s="34"/>
      <c r="O9" s="34"/>
      <c r="P9" s="34"/>
      <c r="Q9" s="34"/>
      <c r="R9" s="16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5" customFormat="1" ht="67.5" customHeight="1" x14ac:dyDescent="0.25">
      <c r="A10" s="134">
        <v>2</v>
      </c>
      <c r="B10" s="24" t="s">
        <v>24</v>
      </c>
      <c r="C10" s="114">
        <v>300000</v>
      </c>
      <c r="D10" s="55">
        <v>106360</v>
      </c>
      <c r="E10" s="86">
        <v>100000</v>
      </c>
      <c r="F10" s="86">
        <f>C10-D10-E10</f>
        <v>93640</v>
      </c>
      <c r="G10" s="86">
        <v>0</v>
      </c>
      <c r="H10" s="86">
        <v>0</v>
      </c>
      <c r="I10" s="86">
        <v>0</v>
      </c>
      <c r="J10" s="85">
        <f>C10</f>
        <v>300000</v>
      </c>
      <c r="K10" s="85">
        <v>0</v>
      </c>
      <c r="L10" s="87" t="s">
        <v>9</v>
      </c>
      <c r="M10" s="33"/>
      <c r="N10" s="33"/>
      <c r="O10" s="33"/>
      <c r="P10" s="33"/>
      <c r="Q10" s="33"/>
      <c r="R10" s="16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5" customFormat="1" ht="53.25" customHeight="1" x14ac:dyDescent="0.25">
      <c r="A11" s="134">
        <v>3</v>
      </c>
      <c r="B11" s="24" t="s">
        <v>19</v>
      </c>
      <c r="C11" s="114">
        <v>380000</v>
      </c>
      <c r="D11" s="85">
        <v>199000</v>
      </c>
      <c r="E11" s="86">
        <v>97500</v>
      </c>
      <c r="F11" s="86">
        <v>0</v>
      </c>
      <c r="G11" s="86">
        <v>0</v>
      </c>
      <c r="H11" s="86">
        <v>0</v>
      </c>
      <c r="I11" s="86">
        <v>0</v>
      </c>
      <c r="J11" s="86">
        <f>C11*0.2</f>
        <v>76000</v>
      </c>
      <c r="K11" s="86">
        <f>C11*0.8</f>
        <v>304000</v>
      </c>
      <c r="L11" s="87" t="s">
        <v>25</v>
      </c>
      <c r="M11" s="34"/>
      <c r="N11" s="34"/>
      <c r="O11" s="34"/>
      <c r="P11" s="34"/>
      <c r="Q11" s="34"/>
      <c r="R11" s="16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5" customFormat="1" ht="53.25" customHeight="1" x14ac:dyDescent="0.25">
      <c r="A12" s="134">
        <v>4</v>
      </c>
      <c r="B12" s="24" t="s">
        <v>14</v>
      </c>
      <c r="C12" s="114">
        <v>200000</v>
      </c>
      <c r="D12" s="85">
        <v>0</v>
      </c>
      <c r="E12" s="85">
        <v>0</v>
      </c>
      <c r="F12" s="86">
        <v>100000</v>
      </c>
      <c r="G12" s="86">
        <v>100000</v>
      </c>
      <c r="H12" s="86">
        <f>E12*1</f>
        <v>0</v>
      </c>
      <c r="I12" s="85">
        <v>0</v>
      </c>
      <c r="J12" s="85">
        <f>C12</f>
        <v>200000</v>
      </c>
      <c r="K12" s="85">
        <v>0</v>
      </c>
      <c r="L12" s="87" t="s">
        <v>8</v>
      </c>
      <c r="M12" s="32"/>
      <c r="N12" s="32"/>
      <c r="O12" s="32"/>
      <c r="P12" s="32"/>
      <c r="Q12" s="32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5" customFormat="1" ht="52.5" customHeight="1" x14ac:dyDescent="0.25">
      <c r="A13" s="134">
        <v>5</v>
      </c>
      <c r="B13" s="24" t="s">
        <v>18</v>
      </c>
      <c r="C13" s="114">
        <v>490000</v>
      </c>
      <c r="D13" s="85">
        <v>0</v>
      </c>
      <c r="E13" s="86">
        <v>100000</v>
      </c>
      <c r="F13" s="86">
        <v>200000</v>
      </c>
      <c r="G13" s="86">
        <v>190000</v>
      </c>
      <c r="H13" s="86">
        <v>0</v>
      </c>
      <c r="I13" s="86">
        <v>0</v>
      </c>
      <c r="J13" s="86">
        <f>C13*0.2</f>
        <v>98000</v>
      </c>
      <c r="K13" s="86">
        <f>C13*0.8</f>
        <v>392000</v>
      </c>
      <c r="L13" s="87" t="s">
        <v>8</v>
      </c>
      <c r="M13" s="32"/>
      <c r="N13" s="32"/>
      <c r="O13" s="32"/>
      <c r="P13" s="32"/>
      <c r="Q13" s="32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5" customFormat="1" ht="51" customHeight="1" x14ac:dyDescent="0.25">
      <c r="A14" s="134">
        <v>6</v>
      </c>
      <c r="B14" s="126" t="s">
        <v>56</v>
      </c>
      <c r="C14" s="114">
        <v>480000</v>
      </c>
      <c r="D14" s="85" t="s">
        <v>2</v>
      </c>
      <c r="E14" s="85" t="s">
        <v>2</v>
      </c>
      <c r="F14" s="86">
        <v>0</v>
      </c>
      <c r="G14" s="86">
        <f>C14</f>
        <v>480000</v>
      </c>
      <c r="H14" s="86"/>
      <c r="I14" s="86"/>
      <c r="J14" s="86">
        <f>C14*0.2</f>
        <v>96000</v>
      </c>
      <c r="K14" s="86">
        <f>C14*0.8</f>
        <v>384000</v>
      </c>
      <c r="L14" s="87"/>
      <c r="M14" s="33"/>
      <c r="N14" s="33"/>
      <c r="O14" s="33"/>
      <c r="P14" s="33"/>
      <c r="Q14" s="33"/>
      <c r="R14" s="16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5" customFormat="1" ht="48.75" customHeight="1" x14ac:dyDescent="0.25">
      <c r="A15" s="134">
        <v>7</v>
      </c>
      <c r="B15" s="24" t="s">
        <v>15</v>
      </c>
      <c r="C15" s="114">
        <v>300000</v>
      </c>
      <c r="D15" s="85">
        <v>0</v>
      </c>
      <c r="E15" s="86">
        <v>0</v>
      </c>
      <c r="F15" s="86">
        <v>0</v>
      </c>
      <c r="G15" s="86">
        <v>100000</v>
      </c>
      <c r="H15" s="86">
        <v>100000</v>
      </c>
      <c r="I15" s="86">
        <v>100000</v>
      </c>
      <c r="J15" s="85">
        <f>C15</f>
        <v>300000</v>
      </c>
      <c r="K15" s="86">
        <v>0</v>
      </c>
      <c r="L15" s="87" t="s">
        <v>8</v>
      </c>
      <c r="M15" s="32"/>
      <c r="N15" s="32"/>
      <c r="O15" s="32"/>
      <c r="P15" s="32"/>
      <c r="Q15" s="32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79" customFormat="1" ht="30" customHeight="1" x14ac:dyDescent="0.25">
      <c r="A16" s="89"/>
      <c r="B16" s="90" t="s">
        <v>7</v>
      </c>
      <c r="C16" s="91">
        <f>SUM(C10:C15)</f>
        <v>2150000</v>
      </c>
      <c r="D16" s="91">
        <f>SUM(D10:D15)</f>
        <v>305360</v>
      </c>
      <c r="E16" s="92">
        <f t="shared" ref="E16" si="0">C16-D16</f>
        <v>1844640</v>
      </c>
      <c r="F16" s="92">
        <f t="shared" ref="F16:K16" si="1">SUM(F10:F15)</f>
        <v>393640</v>
      </c>
      <c r="G16" s="92">
        <f t="shared" si="1"/>
        <v>870000</v>
      </c>
      <c r="H16" s="92">
        <f t="shared" si="1"/>
        <v>100000</v>
      </c>
      <c r="I16" s="92">
        <f t="shared" si="1"/>
        <v>100000</v>
      </c>
      <c r="J16" s="92">
        <f t="shared" si="1"/>
        <v>1070000</v>
      </c>
      <c r="K16" s="92">
        <f t="shared" si="1"/>
        <v>1080000</v>
      </c>
      <c r="L16" s="93"/>
      <c r="M16" s="78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pans="1:43" s="3" customFormat="1" ht="45" customHeight="1" x14ac:dyDescent="0.25">
      <c r="A17" s="138" t="s">
        <v>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40"/>
      <c r="L17" s="120"/>
      <c r="M17" s="27"/>
      <c r="N17" s="27"/>
      <c r="O17" s="27"/>
      <c r="P17" s="27"/>
      <c r="Q17" s="27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75" customFormat="1" ht="86.25" customHeight="1" x14ac:dyDescent="0.2">
      <c r="A18" s="94" t="s">
        <v>0</v>
      </c>
      <c r="B18" s="94" t="s">
        <v>1</v>
      </c>
      <c r="C18" s="95" t="s">
        <v>3</v>
      </c>
      <c r="D18" s="95" t="s">
        <v>30</v>
      </c>
      <c r="E18" s="95" t="s">
        <v>71</v>
      </c>
      <c r="F18" s="95" t="s">
        <v>70</v>
      </c>
      <c r="G18" s="95" t="s">
        <v>72</v>
      </c>
      <c r="H18" s="95" t="s">
        <v>73</v>
      </c>
      <c r="I18" s="95" t="s">
        <v>74</v>
      </c>
      <c r="J18" s="95" t="s">
        <v>29</v>
      </c>
      <c r="K18" s="95" t="s">
        <v>35</v>
      </c>
      <c r="L18" s="95" t="s">
        <v>4</v>
      </c>
      <c r="M18" s="83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</row>
    <row r="19" spans="1:43" s="5" customFormat="1" ht="71.25" customHeight="1" x14ac:dyDescent="0.25">
      <c r="A19" s="84">
        <v>1</v>
      </c>
      <c r="B19" s="24" t="s">
        <v>21</v>
      </c>
      <c r="C19" s="82">
        <f>212000000</f>
        <v>212000000</v>
      </c>
      <c r="D19" s="96">
        <v>7026836.0300000003</v>
      </c>
      <c r="E19" s="86">
        <v>50000000</v>
      </c>
      <c r="F19" s="86">
        <v>150000000</v>
      </c>
      <c r="G19" s="86">
        <f>C19-D19-E19-F19</f>
        <v>4973163.9699999988</v>
      </c>
      <c r="H19" s="86">
        <v>0</v>
      </c>
      <c r="I19" s="86">
        <v>0</v>
      </c>
      <c r="J19" s="86">
        <f>C19*0.03</f>
        <v>6360000</v>
      </c>
      <c r="K19" s="86">
        <f>C19*0.97</f>
        <v>205640000</v>
      </c>
      <c r="L19" s="97" t="s">
        <v>20</v>
      </c>
      <c r="M19" s="43"/>
      <c r="N19" s="30"/>
      <c r="O19" s="30"/>
      <c r="P19" s="30"/>
      <c r="Q19" s="31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5" customFormat="1" ht="89.25" customHeight="1" x14ac:dyDescent="0.25">
      <c r="A20" s="84" t="s">
        <v>36</v>
      </c>
      <c r="B20" s="24" t="s">
        <v>53</v>
      </c>
      <c r="C20" s="82">
        <f>37000</f>
        <v>37000</v>
      </c>
      <c r="D20" s="96">
        <v>0</v>
      </c>
      <c r="E20" s="86">
        <v>37000</v>
      </c>
      <c r="F20" s="86">
        <v>0</v>
      </c>
      <c r="G20" s="86">
        <f>C20-D20-E20-F20</f>
        <v>0</v>
      </c>
      <c r="H20" s="86">
        <v>0</v>
      </c>
      <c r="I20" s="86">
        <v>0</v>
      </c>
      <c r="J20" s="86">
        <f>C20</f>
        <v>37000</v>
      </c>
      <c r="K20" s="86">
        <v>0</v>
      </c>
      <c r="L20" s="97" t="s">
        <v>20</v>
      </c>
      <c r="M20" s="43"/>
      <c r="N20" s="30"/>
      <c r="O20" s="30"/>
      <c r="P20" s="30"/>
      <c r="Q20" s="31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5" customFormat="1" ht="25.5" x14ac:dyDescent="0.25">
      <c r="A21" s="84">
        <v>2</v>
      </c>
      <c r="B21" s="24" t="s">
        <v>17</v>
      </c>
      <c r="C21" s="96">
        <v>14000000</v>
      </c>
      <c r="D21" s="98">
        <f>708540.54+1946788.16+187500</f>
        <v>2842828.7</v>
      </c>
      <c r="E21" s="86">
        <v>0</v>
      </c>
      <c r="F21" s="86">
        <v>1000000</v>
      </c>
      <c r="G21" s="86">
        <v>4000000</v>
      </c>
      <c r="H21" s="86">
        <v>3000000</v>
      </c>
      <c r="I21" s="86">
        <f>C21-D21-F21-G21-H21</f>
        <v>3157171.3000000007</v>
      </c>
      <c r="J21" s="86">
        <f>C21*0.2</f>
        <v>2800000</v>
      </c>
      <c r="K21" s="86">
        <f>C21*0.8</f>
        <v>11200000</v>
      </c>
      <c r="L21" s="97"/>
      <c r="M21" s="44"/>
      <c r="N21" s="28"/>
      <c r="O21" s="28"/>
      <c r="P21" s="28"/>
      <c r="Q21" s="29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5" customFormat="1" ht="42" customHeight="1" x14ac:dyDescent="0.25">
      <c r="A22" s="84">
        <v>3</v>
      </c>
      <c r="B22" s="24" t="s">
        <v>54</v>
      </c>
      <c r="C22" s="96">
        <f>3000000 +8000000</f>
        <v>11000000</v>
      </c>
      <c r="D22" s="96">
        <f>1250000+220000+1459524.34+1746837</f>
        <v>4676361.34</v>
      </c>
      <c r="E22" s="86">
        <v>0</v>
      </c>
      <c r="F22" s="86">
        <v>1967538</v>
      </c>
      <c r="G22" s="86">
        <v>7000000</v>
      </c>
      <c r="H22" s="86">
        <v>0</v>
      </c>
      <c r="I22" s="86">
        <v>0</v>
      </c>
      <c r="J22" s="86">
        <f>C22*0.1</f>
        <v>1100000</v>
      </c>
      <c r="K22" s="86">
        <f>C22*0.9</f>
        <v>9900000</v>
      </c>
      <c r="L22" s="97"/>
      <c r="M22" s="44"/>
      <c r="N22" s="28"/>
      <c r="O22" s="28"/>
      <c r="P22" s="28"/>
      <c r="Q22" s="29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5" customFormat="1" ht="50.25" customHeight="1" x14ac:dyDescent="0.25">
      <c r="A23" s="84">
        <v>4</v>
      </c>
      <c r="B23" s="24" t="s">
        <v>27</v>
      </c>
      <c r="C23" s="96">
        <v>6000000</v>
      </c>
      <c r="D23" s="96">
        <f>501163.17+250000+333508.3+192678+275594</f>
        <v>1552943.47</v>
      </c>
      <c r="E23" s="86">
        <v>125000</v>
      </c>
      <c r="F23" s="86">
        <v>2900000</v>
      </c>
      <c r="G23" s="86">
        <f>C23-D23-E23-F23</f>
        <v>1422056.5300000003</v>
      </c>
      <c r="H23" s="86">
        <v>0</v>
      </c>
      <c r="I23" s="86">
        <v>0</v>
      </c>
      <c r="J23" s="86">
        <f>C23*0.2</f>
        <v>1200000</v>
      </c>
      <c r="K23" s="86">
        <f>C23*0.8</f>
        <v>4800000</v>
      </c>
      <c r="L23" s="97" t="s">
        <v>68</v>
      </c>
      <c r="M23" s="44"/>
      <c r="N23" s="28"/>
      <c r="O23" s="28"/>
      <c r="P23" s="28"/>
      <c r="Q23" s="29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5" customFormat="1" ht="33" customHeight="1" x14ac:dyDescent="0.25">
      <c r="A24" s="84">
        <v>5</v>
      </c>
      <c r="B24" s="24" t="s">
        <v>51</v>
      </c>
      <c r="C24" s="96">
        <v>8000000</v>
      </c>
      <c r="D24" s="96" t="s">
        <v>2</v>
      </c>
      <c r="E24" s="86" t="s">
        <v>2</v>
      </c>
      <c r="F24" s="86" t="s">
        <v>2</v>
      </c>
      <c r="G24" s="86">
        <v>500000</v>
      </c>
      <c r="H24" s="86">
        <v>4000000</v>
      </c>
      <c r="I24" s="86">
        <f>C24-G24-H24</f>
        <v>3500000</v>
      </c>
      <c r="J24" s="86">
        <f>C24*0.2</f>
        <v>1600000</v>
      </c>
      <c r="K24" s="86">
        <f>C24*0.8</f>
        <v>6400000</v>
      </c>
      <c r="L24" s="97"/>
      <c r="M24" s="44"/>
      <c r="N24" s="28"/>
      <c r="O24" s="28"/>
      <c r="P24" s="28"/>
      <c r="Q24" s="29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5" customFormat="1" ht="27.75" customHeight="1" x14ac:dyDescent="0.25">
      <c r="A25" s="84">
        <v>6</v>
      </c>
      <c r="B25" s="24" t="s">
        <v>50</v>
      </c>
      <c r="C25" s="96">
        <v>15000000</v>
      </c>
      <c r="D25" s="96" t="s">
        <v>2</v>
      </c>
      <c r="E25" s="86" t="s">
        <v>2</v>
      </c>
      <c r="F25" s="86">
        <v>100000</v>
      </c>
      <c r="G25" s="86">
        <v>4000000</v>
      </c>
      <c r="H25" s="86">
        <v>5000000</v>
      </c>
      <c r="I25" s="86">
        <f>C25-F25-G25-H25</f>
        <v>5900000</v>
      </c>
      <c r="J25" s="86">
        <f>C25*0.2</f>
        <v>3000000</v>
      </c>
      <c r="K25" s="86">
        <f>C25*0.8</f>
        <v>12000000</v>
      </c>
      <c r="L25" s="97"/>
      <c r="M25" s="44"/>
      <c r="N25" s="28"/>
      <c r="O25" s="28"/>
      <c r="P25" s="28"/>
      <c r="Q25" s="29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5" customFormat="1" ht="48.75" customHeight="1" x14ac:dyDescent="0.25">
      <c r="A26" s="84">
        <v>7</v>
      </c>
      <c r="B26" s="24" t="s">
        <v>16</v>
      </c>
      <c r="C26" s="96">
        <v>11500000</v>
      </c>
      <c r="D26" s="96">
        <f>812500+1492531+750000</f>
        <v>3055031</v>
      </c>
      <c r="E26" s="86">
        <v>375000</v>
      </c>
      <c r="F26" s="86">
        <v>2500000</v>
      </c>
      <c r="G26" s="86">
        <v>2500000</v>
      </c>
      <c r="H26" s="86">
        <f>C26-D26-E26-F26-G26</f>
        <v>3069969</v>
      </c>
      <c r="I26" s="86">
        <v>0</v>
      </c>
      <c r="J26" s="86">
        <f>C26*0.1</f>
        <v>1150000</v>
      </c>
      <c r="K26" s="86">
        <f>C26*0.9</f>
        <v>10350000</v>
      </c>
      <c r="L26" s="97" t="s">
        <v>80</v>
      </c>
      <c r="M26" s="43"/>
      <c r="N26" s="30"/>
      <c r="O26" s="30"/>
      <c r="P26" s="30"/>
      <c r="Q26" s="31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5" customFormat="1" ht="36.75" customHeight="1" x14ac:dyDescent="0.25">
      <c r="A27" s="84">
        <v>8</v>
      </c>
      <c r="B27" s="24" t="s">
        <v>31</v>
      </c>
      <c r="C27" s="96">
        <v>15500000</v>
      </c>
      <c r="D27" s="96">
        <v>0</v>
      </c>
      <c r="E27" s="86">
        <v>1000000</v>
      </c>
      <c r="F27" s="86">
        <v>1000000</v>
      </c>
      <c r="G27" s="86">
        <v>4500000</v>
      </c>
      <c r="H27" s="86">
        <v>4500000</v>
      </c>
      <c r="I27" s="86">
        <f>C27-D27-E27-F27-G27-H27</f>
        <v>4500000</v>
      </c>
      <c r="J27" s="86">
        <f>C27*0.1</f>
        <v>1550000</v>
      </c>
      <c r="K27" s="86">
        <f>C27*0.9</f>
        <v>13950000</v>
      </c>
      <c r="L27" s="97"/>
      <c r="M27" s="43"/>
      <c r="N27" s="30"/>
      <c r="O27" s="30"/>
      <c r="P27" s="30"/>
      <c r="Q27" s="31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5" customFormat="1" ht="42.75" customHeight="1" x14ac:dyDescent="0.25">
      <c r="A28" s="84">
        <v>9</v>
      </c>
      <c r="B28" s="24" t="s">
        <v>32</v>
      </c>
      <c r="C28" s="96">
        <v>23000000</v>
      </c>
      <c r="D28" s="96">
        <v>0</v>
      </c>
      <c r="E28" s="86">
        <v>0</v>
      </c>
      <c r="F28" s="86">
        <v>3000000</v>
      </c>
      <c r="G28" s="86">
        <v>7500000</v>
      </c>
      <c r="H28" s="86">
        <v>7000000</v>
      </c>
      <c r="I28" s="86">
        <f>C28-D28-E28-F28-G28-H28</f>
        <v>5500000</v>
      </c>
      <c r="J28" s="86">
        <f>C28*0.1</f>
        <v>2300000</v>
      </c>
      <c r="K28" s="86">
        <f>C28*0.9</f>
        <v>20700000</v>
      </c>
      <c r="L28" s="97"/>
      <c r="M28" s="43"/>
      <c r="N28" s="30"/>
      <c r="O28" s="30"/>
      <c r="P28" s="30"/>
      <c r="Q28" s="31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5" customFormat="1" ht="43.5" customHeight="1" x14ac:dyDescent="0.25">
      <c r="A29" s="84">
        <v>10</v>
      </c>
      <c r="B29" s="24" t="s">
        <v>55</v>
      </c>
      <c r="C29" s="96">
        <v>5000000</v>
      </c>
      <c r="D29" s="96">
        <v>0</v>
      </c>
      <c r="E29" s="86">
        <v>0</v>
      </c>
      <c r="F29" s="86">
        <v>0</v>
      </c>
      <c r="G29" s="86">
        <v>400000</v>
      </c>
      <c r="H29" s="86">
        <v>3000000</v>
      </c>
      <c r="I29" s="86">
        <f>C29-E29-F29-G29-H29</f>
        <v>1600000</v>
      </c>
      <c r="J29" s="86">
        <f>C29*0.1</f>
        <v>500000</v>
      </c>
      <c r="K29" s="86">
        <f>C29*0.9</f>
        <v>4500000</v>
      </c>
      <c r="L29" s="97" t="s">
        <v>80</v>
      </c>
      <c r="M29" s="43"/>
      <c r="N29" s="30"/>
      <c r="O29" s="30"/>
      <c r="P29" s="30"/>
      <c r="Q29" s="31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s="5" customFormat="1" ht="39" customHeight="1" x14ac:dyDescent="0.25">
      <c r="A30" s="84">
        <v>11</v>
      </c>
      <c r="B30" s="24" t="s">
        <v>33</v>
      </c>
      <c r="C30" s="96">
        <v>46760</v>
      </c>
      <c r="D30" s="96">
        <v>0</v>
      </c>
      <c r="E30" s="86">
        <v>46760</v>
      </c>
      <c r="F30" s="86">
        <v>0</v>
      </c>
      <c r="G30" s="86">
        <v>0</v>
      </c>
      <c r="H30" s="86">
        <v>0</v>
      </c>
      <c r="I30" s="86">
        <f>C30-D30-E30-F30-G30-H30</f>
        <v>0</v>
      </c>
      <c r="J30" s="86">
        <f>C30</f>
        <v>46760</v>
      </c>
      <c r="K30" s="86">
        <v>0</v>
      </c>
      <c r="L30" s="97"/>
      <c r="M30" s="43"/>
      <c r="N30" s="30"/>
      <c r="O30" s="30"/>
      <c r="P30" s="30"/>
      <c r="Q30" s="31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s="5" customFormat="1" ht="48" customHeight="1" thickBot="1" x14ac:dyDescent="0.3">
      <c r="A31" s="84">
        <v>12</v>
      </c>
      <c r="B31" s="125" t="s">
        <v>75</v>
      </c>
      <c r="C31" s="85">
        <v>4800000</v>
      </c>
      <c r="D31" s="85" t="s">
        <v>2</v>
      </c>
      <c r="E31" s="85" t="s">
        <v>2</v>
      </c>
      <c r="F31" s="86">
        <v>0</v>
      </c>
      <c r="G31" s="86">
        <v>0</v>
      </c>
      <c r="H31" s="86">
        <v>2400000</v>
      </c>
      <c r="I31" s="86">
        <v>2400000</v>
      </c>
      <c r="J31" s="86">
        <f>C31*0.2</f>
        <v>960000</v>
      </c>
      <c r="K31" s="86">
        <f>C31*0.8</f>
        <v>3840000</v>
      </c>
      <c r="L31" s="87"/>
      <c r="M31" s="33"/>
      <c r="N31" s="33"/>
      <c r="O31" s="33"/>
      <c r="P31" s="33"/>
      <c r="Q31" s="33"/>
      <c r="R31" s="16"/>
      <c r="S31" s="14"/>
      <c r="T31" s="88" t="s">
        <v>57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s="104" customFormat="1" ht="32.25" customHeight="1" x14ac:dyDescent="0.2">
      <c r="A32" s="20"/>
      <c r="B32" s="100" t="s">
        <v>7</v>
      </c>
      <c r="C32" s="101">
        <f t="shared" ref="C32:K32" si="2">SUM(C19:C30)</f>
        <v>321083760</v>
      </c>
      <c r="D32" s="101">
        <f t="shared" si="2"/>
        <v>19154000.539999999</v>
      </c>
      <c r="E32" s="101">
        <f t="shared" si="2"/>
        <v>51583760</v>
      </c>
      <c r="F32" s="101">
        <f t="shared" si="2"/>
        <v>162467538</v>
      </c>
      <c r="G32" s="101">
        <f t="shared" si="2"/>
        <v>36795220.5</v>
      </c>
      <c r="H32" s="101">
        <f t="shared" si="2"/>
        <v>29569969</v>
      </c>
      <c r="I32" s="101">
        <f t="shared" si="2"/>
        <v>24157171.300000001</v>
      </c>
      <c r="J32" s="101">
        <f t="shared" si="2"/>
        <v>21643760</v>
      </c>
      <c r="K32" s="101">
        <f t="shared" si="2"/>
        <v>299440000</v>
      </c>
      <c r="L32" s="102"/>
      <c r="M32" s="103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</row>
    <row r="33" spans="1:43" ht="17.25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s="111" customFormat="1" ht="38.25" customHeight="1" x14ac:dyDescent="0.2">
      <c r="A34" s="106"/>
      <c r="B34" s="107" t="s">
        <v>60</v>
      </c>
      <c r="C34" s="108">
        <f t="shared" ref="C34:K34" si="3">C32+C16</f>
        <v>323233760</v>
      </c>
      <c r="D34" s="108">
        <f t="shared" si="3"/>
        <v>19459360.539999999</v>
      </c>
      <c r="E34" s="108">
        <f t="shared" si="3"/>
        <v>53428400</v>
      </c>
      <c r="F34" s="108">
        <f t="shared" si="3"/>
        <v>162861178</v>
      </c>
      <c r="G34" s="108">
        <f t="shared" si="3"/>
        <v>37665220.5</v>
      </c>
      <c r="H34" s="108">
        <f t="shared" si="3"/>
        <v>29669969</v>
      </c>
      <c r="I34" s="108">
        <f t="shared" si="3"/>
        <v>24257171.300000001</v>
      </c>
      <c r="J34" s="108">
        <f t="shared" si="3"/>
        <v>22713760</v>
      </c>
      <c r="K34" s="108">
        <f t="shared" si="3"/>
        <v>300520000</v>
      </c>
      <c r="L34" s="109"/>
      <c r="M34" s="110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</row>
    <row r="35" spans="1:43" ht="24.75" customHeight="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s="75" customFormat="1" ht="65.25" customHeight="1" x14ac:dyDescent="0.2">
      <c r="A36" s="94" t="s">
        <v>0</v>
      </c>
      <c r="B36" s="94" t="s">
        <v>1</v>
      </c>
      <c r="C36" s="95" t="s">
        <v>3</v>
      </c>
      <c r="D36" s="95" t="s">
        <v>30</v>
      </c>
      <c r="E36" s="95" t="s">
        <v>71</v>
      </c>
      <c r="F36" s="95" t="s">
        <v>70</v>
      </c>
      <c r="G36" s="95" t="s">
        <v>72</v>
      </c>
      <c r="H36" s="95" t="s">
        <v>73</v>
      </c>
      <c r="I36" s="95" t="s">
        <v>74</v>
      </c>
      <c r="J36" s="95" t="s">
        <v>29</v>
      </c>
      <c r="K36" s="95" t="s">
        <v>35</v>
      </c>
      <c r="L36" s="95" t="s">
        <v>4</v>
      </c>
      <c r="M36" s="83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</row>
    <row r="37" spans="1:43" s="3" customFormat="1" ht="39" customHeight="1" thickBot="1" x14ac:dyDescent="0.3">
      <c r="A37" s="143" t="s">
        <v>34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5"/>
      <c r="L37" s="120"/>
      <c r="M37" s="27"/>
      <c r="N37" s="27"/>
      <c r="O37" s="27"/>
      <c r="P37" s="27"/>
      <c r="Q37" s="27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s="5" customFormat="1" ht="66" customHeight="1" thickBot="1" x14ac:dyDescent="0.3">
      <c r="A38" s="72">
        <v>1</v>
      </c>
      <c r="B38" s="126" t="s">
        <v>37</v>
      </c>
      <c r="C38" s="130">
        <v>120000</v>
      </c>
      <c r="D38" s="85">
        <v>47450</v>
      </c>
      <c r="E38" s="86">
        <v>30650</v>
      </c>
      <c r="F38" s="86">
        <f>C38-D38-E38</f>
        <v>41900</v>
      </c>
      <c r="G38" s="86"/>
      <c r="H38" s="86"/>
      <c r="I38" s="86"/>
      <c r="J38" s="86">
        <f t="shared" ref="J38:J44" si="4">C38*0.2</f>
        <v>24000</v>
      </c>
      <c r="K38" s="86">
        <f t="shared" ref="K38:K44" si="5">C38*0.8</f>
        <v>96000</v>
      </c>
      <c r="L38" s="23"/>
      <c r="M38" s="33"/>
      <c r="N38" s="33"/>
      <c r="O38" s="33"/>
      <c r="P38" s="33"/>
      <c r="Q38" s="33"/>
      <c r="R38" s="16"/>
      <c r="S38" s="53">
        <v>120000</v>
      </c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s="5" customFormat="1" ht="58.5" customHeight="1" x14ac:dyDescent="0.25">
      <c r="A39" s="128">
        <v>2</v>
      </c>
      <c r="B39" s="126" t="s">
        <v>38</v>
      </c>
      <c r="C39" s="131">
        <v>1621300</v>
      </c>
      <c r="D39" s="124">
        <v>229910</v>
      </c>
      <c r="E39" s="124">
        <v>1092420</v>
      </c>
      <c r="F39" s="123">
        <f>C39-D39-E39</f>
        <v>298970</v>
      </c>
      <c r="G39" s="123"/>
      <c r="H39" s="123"/>
      <c r="I39" s="123"/>
      <c r="J39" s="123">
        <f t="shared" si="4"/>
        <v>324260</v>
      </c>
      <c r="K39" s="123">
        <f t="shared" si="5"/>
        <v>1297040</v>
      </c>
      <c r="L39" s="57"/>
      <c r="M39" s="33"/>
      <c r="N39" s="33"/>
      <c r="O39" s="33"/>
      <c r="P39" s="33"/>
      <c r="Q39" s="33"/>
      <c r="R39" s="16"/>
      <c r="S39" s="54">
        <v>1621300</v>
      </c>
      <c r="T39" s="122">
        <v>229910</v>
      </c>
      <c r="U39" s="56">
        <v>1092420</v>
      </c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ht="37.5" customHeight="1" x14ac:dyDescent="0.25">
      <c r="A40" s="129">
        <v>3</v>
      </c>
      <c r="B40" s="126" t="s">
        <v>63</v>
      </c>
      <c r="C40" s="132">
        <v>33000</v>
      </c>
      <c r="D40" s="59">
        <v>0</v>
      </c>
      <c r="E40" s="60">
        <v>31900</v>
      </c>
      <c r="F40" s="113"/>
      <c r="G40" s="113"/>
      <c r="H40" s="113"/>
      <c r="I40" s="113"/>
      <c r="J40" s="135">
        <f>C40</f>
        <v>33000</v>
      </c>
      <c r="K40" s="113"/>
      <c r="L40" s="61"/>
    </row>
    <row r="41" spans="1:43" s="5" customFormat="1" ht="52.5" customHeight="1" x14ac:dyDescent="0.25">
      <c r="A41" s="72">
        <v>4</v>
      </c>
      <c r="B41" s="126" t="s">
        <v>39</v>
      </c>
      <c r="C41" s="130">
        <v>125000</v>
      </c>
      <c r="D41" s="85">
        <v>0</v>
      </c>
      <c r="E41" s="86">
        <f>C41</f>
        <v>125000</v>
      </c>
      <c r="F41" s="86"/>
      <c r="G41" s="86"/>
      <c r="H41" s="86"/>
      <c r="I41" s="86"/>
      <c r="J41" s="86">
        <f t="shared" si="4"/>
        <v>25000</v>
      </c>
      <c r="K41" s="86">
        <f t="shared" si="5"/>
        <v>100000</v>
      </c>
      <c r="L41" s="23"/>
      <c r="M41" s="33"/>
      <c r="N41" s="33"/>
      <c r="O41" s="33"/>
      <c r="P41" s="33"/>
      <c r="Q41" s="33"/>
      <c r="R41" s="16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s="5" customFormat="1" ht="67.5" customHeight="1" x14ac:dyDescent="0.25">
      <c r="A42" s="72">
        <v>5</v>
      </c>
      <c r="B42" s="126" t="s">
        <v>76</v>
      </c>
      <c r="C42" s="133">
        <v>150000</v>
      </c>
      <c r="D42" s="114">
        <v>0</v>
      </c>
      <c r="E42" s="86">
        <v>0</v>
      </c>
      <c r="F42" s="86">
        <v>50000</v>
      </c>
      <c r="G42" s="86">
        <v>100000</v>
      </c>
      <c r="H42" s="86"/>
      <c r="I42" s="86"/>
      <c r="J42" s="86">
        <f t="shared" si="4"/>
        <v>30000</v>
      </c>
      <c r="K42" s="86">
        <f t="shared" si="5"/>
        <v>120000</v>
      </c>
      <c r="L42" s="23"/>
      <c r="M42" s="33"/>
      <c r="N42" s="33"/>
      <c r="O42" s="33"/>
      <c r="P42" s="33"/>
      <c r="Q42" s="33"/>
      <c r="R42" s="16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ht="41.25" customHeight="1" x14ac:dyDescent="0.25">
      <c r="A43" s="72">
        <v>6</v>
      </c>
      <c r="B43" s="126" t="s">
        <v>65</v>
      </c>
      <c r="C43" s="132">
        <v>42000</v>
      </c>
      <c r="D43" s="60">
        <v>32550</v>
      </c>
      <c r="E43" s="60">
        <v>7850</v>
      </c>
      <c r="F43" s="113"/>
      <c r="G43" s="113"/>
      <c r="H43" s="113"/>
      <c r="I43" s="113"/>
      <c r="J43" s="135">
        <f>C43</f>
        <v>42000</v>
      </c>
      <c r="K43" s="113"/>
      <c r="L43" s="61"/>
    </row>
    <row r="44" spans="1:43" s="5" customFormat="1" ht="36" customHeight="1" x14ac:dyDescent="0.25">
      <c r="A44" s="72">
        <v>7</v>
      </c>
      <c r="B44" s="126" t="s">
        <v>59</v>
      </c>
      <c r="C44" s="133">
        <v>490000</v>
      </c>
      <c r="D44" s="114">
        <v>0</v>
      </c>
      <c r="E44" s="86">
        <v>0</v>
      </c>
      <c r="F44" s="86">
        <v>0</v>
      </c>
      <c r="G44" s="86">
        <f>C44</f>
        <v>490000</v>
      </c>
      <c r="H44" s="86"/>
      <c r="I44" s="86"/>
      <c r="J44" s="86">
        <f t="shared" si="4"/>
        <v>98000</v>
      </c>
      <c r="K44" s="86">
        <f t="shared" si="5"/>
        <v>392000</v>
      </c>
      <c r="L44" s="23"/>
      <c r="M44" s="33"/>
      <c r="N44" s="33"/>
      <c r="O44" s="33"/>
      <c r="P44" s="33"/>
      <c r="Q44" s="33"/>
      <c r="R44" s="16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s="2" customFormat="1" ht="38.25" customHeight="1" x14ac:dyDescent="0.25">
      <c r="A45" s="73"/>
      <c r="B45" s="63" t="s">
        <v>7</v>
      </c>
      <c r="C45" s="99">
        <f t="shared" ref="C45:K45" si="6">SUM(C38:C42)</f>
        <v>2049300</v>
      </c>
      <c r="D45" s="99">
        <f t="shared" si="6"/>
        <v>277360</v>
      </c>
      <c r="E45" s="99">
        <f t="shared" si="6"/>
        <v>1279970</v>
      </c>
      <c r="F45" s="99">
        <f t="shared" si="6"/>
        <v>390870</v>
      </c>
      <c r="G45" s="99">
        <f t="shared" si="6"/>
        <v>100000</v>
      </c>
      <c r="H45" s="99">
        <f t="shared" si="6"/>
        <v>0</v>
      </c>
      <c r="I45" s="99">
        <f t="shared" si="6"/>
        <v>0</v>
      </c>
      <c r="J45" s="99">
        <f t="shared" si="6"/>
        <v>436260</v>
      </c>
      <c r="K45" s="99">
        <f t="shared" si="6"/>
        <v>1613040</v>
      </c>
      <c r="L45" s="21"/>
      <c r="M45" s="3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1:43" ht="21.75" customHeight="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s="75" customFormat="1" ht="62.25" customHeight="1" x14ac:dyDescent="0.2">
      <c r="A47" s="94" t="s">
        <v>0</v>
      </c>
      <c r="B47" s="94" t="s">
        <v>1</v>
      </c>
      <c r="C47" s="95" t="s">
        <v>3</v>
      </c>
      <c r="D47" s="95" t="s">
        <v>30</v>
      </c>
      <c r="E47" s="95" t="s">
        <v>71</v>
      </c>
      <c r="F47" s="95" t="s">
        <v>70</v>
      </c>
      <c r="G47" s="95" t="s">
        <v>72</v>
      </c>
      <c r="H47" s="95" t="s">
        <v>73</v>
      </c>
      <c r="I47" s="95" t="s">
        <v>74</v>
      </c>
      <c r="J47" s="95" t="s">
        <v>29</v>
      </c>
      <c r="K47" s="95" t="s">
        <v>35</v>
      </c>
      <c r="L47" s="95" t="s">
        <v>4</v>
      </c>
      <c r="M47" s="83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</row>
    <row r="48" spans="1:43" s="3" customFormat="1" ht="44.25" customHeight="1" x14ac:dyDescent="0.25">
      <c r="A48" s="138" t="s">
        <v>43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40"/>
      <c r="L48" s="119"/>
      <c r="M48" s="27"/>
      <c r="N48" s="27"/>
      <c r="O48" s="27"/>
      <c r="P48" s="27"/>
      <c r="Q48" s="27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s="5" customFormat="1" ht="53.25" customHeight="1" x14ac:dyDescent="0.25">
      <c r="A49" s="6">
        <v>1</v>
      </c>
      <c r="B49" s="74" t="s">
        <v>44</v>
      </c>
      <c r="C49" s="68">
        <v>4500000</v>
      </c>
      <c r="D49" s="64">
        <v>0</v>
      </c>
      <c r="E49" s="65">
        <v>0</v>
      </c>
      <c r="F49" s="65">
        <v>0</v>
      </c>
      <c r="G49" s="65">
        <v>1000000</v>
      </c>
      <c r="H49" s="65">
        <v>2000000</v>
      </c>
      <c r="I49" s="65">
        <v>1500000</v>
      </c>
      <c r="J49" s="65">
        <f>C49*0.2</f>
        <v>900000</v>
      </c>
      <c r="K49" s="65">
        <f>C49*0.8</f>
        <v>3600000</v>
      </c>
      <c r="L49" s="23"/>
      <c r="M49" s="33"/>
      <c r="N49" s="33"/>
      <c r="O49" s="33"/>
      <c r="P49" s="33"/>
      <c r="Q49" s="33"/>
      <c r="R49" s="16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s="5" customFormat="1" ht="43.5" customHeight="1" x14ac:dyDescent="0.25">
      <c r="A50" s="6">
        <v>2</v>
      </c>
      <c r="B50" s="74" t="s">
        <v>45</v>
      </c>
      <c r="C50" s="68">
        <v>500000</v>
      </c>
      <c r="D50" s="64">
        <v>0</v>
      </c>
      <c r="E50" s="68">
        <v>0</v>
      </c>
      <c r="F50" s="65">
        <v>300000</v>
      </c>
      <c r="G50" s="65">
        <f>C50-F50</f>
        <v>200000</v>
      </c>
      <c r="H50" s="65"/>
      <c r="I50" s="65"/>
      <c r="J50" s="65">
        <f>C50*0.2</f>
        <v>100000</v>
      </c>
      <c r="K50" s="65">
        <f>C50*0.8</f>
        <v>400000</v>
      </c>
      <c r="L50" s="23"/>
      <c r="M50" s="33"/>
      <c r="N50" s="33"/>
      <c r="O50" s="33"/>
      <c r="P50" s="33"/>
      <c r="Q50" s="33"/>
      <c r="R50" s="16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s="5" customFormat="1" ht="37.5" customHeight="1" x14ac:dyDescent="0.25">
      <c r="A51" s="6">
        <v>3</v>
      </c>
      <c r="B51" s="74" t="s">
        <v>46</v>
      </c>
      <c r="C51" s="68">
        <v>5000000</v>
      </c>
      <c r="D51" s="64">
        <v>0</v>
      </c>
      <c r="E51" s="65">
        <v>0</v>
      </c>
      <c r="F51" s="65">
        <v>0</v>
      </c>
      <c r="G51" s="65">
        <v>2000000</v>
      </c>
      <c r="H51" s="65">
        <v>2000000</v>
      </c>
      <c r="I51" s="65">
        <f>C51-G51-H51</f>
        <v>1000000</v>
      </c>
      <c r="J51" s="65">
        <f>C51*0.2</f>
        <v>1000000</v>
      </c>
      <c r="K51" s="65">
        <f>C51*0.8</f>
        <v>4000000</v>
      </c>
      <c r="L51" s="23"/>
      <c r="M51" s="33"/>
      <c r="N51" s="33"/>
      <c r="O51" s="33"/>
      <c r="P51" s="33"/>
      <c r="Q51" s="33"/>
      <c r="R51" s="16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s="5" customFormat="1" ht="52.5" customHeight="1" x14ac:dyDescent="0.25">
      <c r="A52" s="6">
        <v>4</v>
      </c>
      <c r="B52" s="74" t="s">
        <v>40</v>
      </c>
      <c r="C52" s="68">
        <v>2798388.42</v>
      </c>
      <c r="D52" s="70">
        <v>2198885.3199999998</v>
      </c>
      <c r="E52" s="65">
        <f>C52-D52</f>
        <v>599503.10000000009</v>
      </c>
      <c r="F52" s="65">
        <v>0</v>
      </c>
      <c r="G52" s="65"/>
      <c r="H52" s="65"/>
      <c r="I52" s="65"/>
      <c r="J52" s="65">
        <f>C52*0.1</f>
        <v>279838.842</v>
      </c>
      <c r="K52" s="65">
        <f>C52*0.9</f>
        <v>2518549.5780000002</v>
      </c>
      <c r="L52" s="23"/>
      <c r="M52" s="33"/>
      <c r="N52" s="33"/>
      <c r="O52" s="33"/>
      <c r="P52" s="33"/>
      <c r="Q52" s="33"/>
      <c r="R52" s="16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s="5" customFormat="1" ht="44.25" customHeight="1" x14ac:dyDescent="0.25">
      <c r="A53" s="6">
        <v>5</v>
      </c>
      <c r="B53" s="74" t="s">
        <v>41</v>
      </c>
      <c r="C53" s="68">
        <v>54993.5</v>
      </c>
      <c r="D53" s="64">
        <f>C53</f>
        <v>54993.5</v>
      </c>
      <c r="E53" s="65"/>
      <c r="F53" s="65">
        <v>0</v>
      </c>
      <c r="G53" s="65"/>
      <c r="H53" s="65"/>
      <c r="I53" s="65"/>
      <c r="J53" s="65">
        <f>C53</f>
        <v>54993.5</v>
      </c>
      <c r="K53" s="65">
        <v>0</v>
      </c>
      <c r="L53" s="23"/>
      <c r="M53" s="33"/>
      <c r="N53" s="33"/>
      <c r="O53" s="33"/>
      <c r="P53" s="33"/>
      <c r="Q53" s="33"/>
      <c r="R53" s="16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s="5" customFormat="1" ht="46.5" customHeight="1" x14ac:dyDescent="0.25">
      <c r="A54" s="6">
        <v>6</v>
      </c>
      <c r="B54" s="74" t="s">
        <v>42</v>
      </c>
      <c r="C54" s="68">
        <v>80000</v>
      </c>
      <c r="D54" s="64">
        <v>0</v>
      </c>
      <c r="E54" s="65">
        <f>C54</f>
        <v>80000</v>
      </c>
      <c r="F54" s="65">
        <v>0</v>
      </c>
      <c r="G54" s="65"/>
      <c r="H54" s="65"/>
      <c r="I54" s="65"/>
      <c r="J54" s="65">
        <f>C54</f>
        <v>80000</v>
      </c>
      <c r="K54" s="65">
        <v>0</v>
      </c>
      <c r="L54" s="23"/>
      <c r="M54" s="33"/>
      <c r="N54" s="33"/>
      <c r="O54" s="33"/>
      <c r="P54" s="33"/>
      <c r="Q54" s="33"/>
      <c r="R54" s="16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s="5" customFormat="1" ht="50.25" customHeight="1" x14ac:dyDescent="0.25">
      <c r="A55" s="6">
        <v>7</v>
      </c>
      <c r="B55" s="74" t="s">
        <v>79</v>
      </c>
      <c r="C55" s="68">
        <v>40000</v>
      </c>
      <c r="D55" s="64">
        <v>0</v>
      </c>
      <c r="E55" s="65">
        <f>C55</f>
        <v>40000</v>
      </c>
      <c r="F55" s="65">
        <v>0</v>
      </c>
      <c r="G55" s="65"/>
      <c r="H55" s="65"/>
      <c r="I55" s="65"/>
      <c r="J55" s="65">
        <f>C55</f>
        <v>40000</v>
      </c>
      <c r="K55" s="64">
        <v>0</v>
      </c>
      <c r="L55" s="23"/>
      <c r="M55" s="33"/>
      <c r="N55" s="33"/>
      <c r="O55" s="33"/>
      <c r="P55" s="33"/>
      <c r="Q55" s="33"/>
      <c r="R55" s="16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s="5" customFormat="1" ht="56.25" customHeight="1" x14ac:dyDescent="0.25">
      <c r="A56" s="6">
        <v>8</v>
      </c>
      <c r="B56" s="74" t="s">
        <v>47</v>
      </c>
      <c r="C56" s="68">
        <v>5000000</v>
      </c>
      <c r="D56" s="64">
        <v>0</v>
      </c>
      <c r="E56" s="65">
        <v>0</v>
      </c>
      <c r="F56" s="65">
        <v>0</v>
      </c>
      <c r="G56" s="65">
        <v>2000000</v>
      </c>
      <c r="H56" s="65">
        <v>2000000</v>
      </c>
      <c r="I56" s="65">
        <f>C56-G56-H56</f>
        <v>1000000</v>
      </c>
      <c r="J56" s="65">
        <f>C56*0.1</f>
        <v>500000</v>
      </c>
      <c r="K56" s="65">
        <f>C56*0.9</f>
        <v>4500000</v>
      </c>
      <c r="L56" s="23"/>
      <c r="M56" s="33"/>
      <c r="N56" s="33"/>
      <c r="O56" s="33"/>
      <c r="P56" s="33"/>
      <c r="Q56" s="33"/>
      <c r="R56" s="16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s="5" customFormat="1" ht="40.5" customHeight="1" x14ac:dyDescent="0.25">
      <c r="A57" s="6">
        <v>9</v>
      </c>
      <c r="B57" s="74" t="s">
        <v>49</v>
      </c>
      <c r="C57" s="66">
        <v>1500000</v>
      </c>
      <c r="D57" s="64">
        <v>0</v>
      </c>
      <c r="E57" s="65">
        <v>0</v>
      </c>
      <c r="F57" s="65">
        <v>0</v>
      </c>
      <c r="G57" s="65">
        <v>0</v>
      </c>
      <c r="H57" s="65">
        <v>500000</v>
      </c>
      <c r="I57" s="65">
        <v>1000000</v>
      </c>
      <c r="J57" s="65">
        <f>C57*0.2</f>
        <v>300000</v>
      </c>
      <c r="K57" s="65">
        <f>C57*0.8</f>
        <v>1200000</v>
      </c>
      <c r="L57" s="23"/>
      <c r="M57" s="33"/>
      <c r="N57" s="33"/>
      <c r="O57" s="33"/>
      <c r="P57" s="33"/>
      <c r="Q57" s="33"/>
      <c r="R57" s="16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s="5" customFormat="1" ht="49.5" customHeight="1" x14ac:dyDescent="0.25">
      <c r="A58" s="6">
        <v>10</v>
      </c>
      <c r="B58" s="74" t="s">
        <v>48</v>
      </c>
      <c r="C58" s="68">
        <v>3000000</v>
      </c>
      <c r="D58" s="64">
        <v>0</v>
      </c>
      <c r="E58" s="65">
        <v>0</v>
      </c>
      <c r="F58" s="65">
        <v>0</v>
      </c>
      <c r="G58" s="65">
        <v>1000000</v>
      </c>
      <c r="H58" s="65">
        <v>1000000</v>
      </c>
      <c r="I58" s="65">
        <f>C58-G58-H58</f>
        <v>1000000</v>
      </c>
      <c r="J58" s="65">
        <f>C58*0.2</f>
        <v>600000</v>
      </c>
      <c r="K58" s="65">
        <f>C58*0.8</f>
        <v>2400000</v>
      </c>
      <c r="L58" s="23"/>
      <c r="M58" s="33"/>
      <c r="N58" s="33"/>
      <c r="O58" s="33"/>
      <c r="P58" s="33"/>
      <c r="Q58" s="33"/>
      <c r="R58" s="16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s="5" customFormat="1" ht="43.5" customHeight="1" x14ac:dyDescent="0.25">
      <c r="A59" s="6">
        <v>11</v>
      </c>
      <c r="B59" s="74" t="s">
        <v>58</v>
      </c>
      <c r="C59" s="68">
        <v>6000000</v>
      </c>
      <c r="D59" s="64" t="s">
        <v>2</v>
      </c>
      <c r="E59" s="68" t="s">
        <v>2</v>
      </c>
      <c r="F59" s="65">
        <v>0</v>
      </c>
      <c r="G59" s="65">
        <v>0</v>
      </c>
      <c r="H59" s="65">
        <v>3000000</v>
      </c>
      <c r="I59" s="65">
        <v>3000000</v>
      </c>
      <c r="J59" s="65">
        <f>C59*0.2</f>
        <v>1200000</v>
      </c>
      <c r="K59" s="65">
        <f>C59*0.8</f>
        <v>4800000</v>
      </c>
      <c r="L59" s="23"/>
      <c r="M59" s="33"/>
      <c r="N59" s="33"/>
      <c r="O59" s="33"/>
      <c r="P59" s="33"/>
      <c r="Q59" s="33"/>
      <c r="R59" s="16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ht="30" x14ac:dyDescent="0.25">
      <c r="A60" s="6">
        <v>12</v>
      </c>
      <c r="B60" s="74" t="s">
        <v>64</v>
      </c>
      <c r="C60" s="68">
        <v>200000</v>
      </c>
      <c r="D60" s="67"/>
      <c r="E60" s="68">
        <v>20000</v>
      </c>
      <c r="F60" s="70">
        <f>C60-E60</f>
        <v>180000</v>
      </c>
      <c r="G60" s="69"/>
      <c r="H60" s="69"/>
      <c r="I60" s="69"/>
      <c r="J60" s="65">
        <f>C60*0.2</f>
        <v>40000</v>
      </c>
      <c r="K60" s="65">
        <f>C60*0.8</f>
        <v>160000</v>
      </c>
      <c r="L60" s="61"/>
    </row>
    <row r="61" spans="1:43" ht="30" x14ac:dyDescent="0.25">
      <c r="A61" s="6">
        <v>13</v>
      </c>
      <c r="B61" s="74" t="s">
        <v>81</v>
      </c>
      <c r="C61" s="68">
        <v>19000</v>
      </c>
      <c r="D61" s="67"/>
      <c r="E61" s="68">
        <f>C61</f>
        <v>19000</v>
      </c>
      <c r="F61" s="70"/>
      <c r="G61" s="69"/>
      <c r="H61" s="69"/>
      <c r="I61" s="69"/>
      <c r="J61" s="65">
        <f>E61</f>
        <v>19000</v>
      </c>
      <c r="K61" s="64">
        <v>0</v>
      </c>
      <c r="L61" s="61"/>
    </row>
    <row r="62" spans="1:43" s="2" customFormat="1" ht="35.25" customHeight="1" x14ac:dyDescent="0.25">
      <c r="A62" s="20"/>
      <c r="B62" s="18" t="s">
        <v>7</v>
      </c>
      <c r="C62" s="22">
        <f t="shared" ref="C62:K62" si="7">SUM(C49:C58)</f>
        <v>22473381.920000002</v>
      </c>
      <c r="D62" s="22">
        <f t="shared" si="7"/>
        <v>2253878.8199999998</v>
      </c>
      <c r="E62" s="22">
        <f t="shared" si="7"/>
        <v>719503.10000000009</v>
      </c>
      <c r="F62" s="22">
        <f t="shared" si="7"/>
        <v>300000</v>
      </c>
      <c r="G62" s="101">
        <f t="shared" si="7"/>
        <v>6200000</v>
      </c>
      <c r="H62" s="101">
        <f t="shared" si="7"/>
        <v>7500000</v>
      </c>
      <c r="I62" s="101">
        <f t="shared" si="7"/>
        <v>5500000</v>
      </c>
      <c r="J62" s="22">
        <f t="shared" si="7"/>
        <v>3854832.3420000002</v>
      </c>
      <c r="K62" s="22">
        <f t="shared" si="7"/>
        <v>18618549.578000002</v>
      </c>
      <c r="L62" s="21"/>
      <c r="M62" s="3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3" spans="1:43" ht="15.7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s="11" customFormat="1" ht="38.25" customHeight="1" x14ac:dyDescent="0.2">
      <c r="A64" s="10"/>
      <c r="B64" s="25" t="s">
        <v>60</v>
      </c>
      <c r="C64" s="26">
        <f t="shared" ref="C64:K64" si="8">C62+C45</f>
        <v>24522681.920000002</v>
      </c>
      <c r="D64" s="26">
        <f t="shared" si="8"/>
        <v>2531238.8199999998</v>
      </c>
      <c r="E64" s="26">
        <f t="shared" si="8"/>
        <v>1999473.1</v>
      </c>
      <c r="F64" s="26">
        <f t="shared" si="8"/>
        <v>690870</v>
      </c>
      <c r="G64" s="116">
        <f t="shared" si="8"/>
        <v>6300000</v>
      </c>
      <c r="H64" s="116">
        <f t="shared" si="8"/>
        <v>7500000</v>
      </c>
      <c r="I64" s="116">
        <f t="shared" si="8"/>
        <v>5500000</v>
      </c>
      <c r="J64" s="26">
        <f t="shared" si="8"/>
        <v>4291092.3420000002</v>
      </c>
      <c r="K64" s="26">
        <f t="shared" si="8"/>
        <v>20231589.578000002</v>
      </c>
      <c r="L64" s="38"/>
      <c r="M64" s="39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ht="25.5" customHeight="1" x14ac:dyDescent="0.25">
      <c r="A65"/>
      <c r="L65"/>
    </row>
    <row r="66" spans="1:43" s="75" customFormat="1" ht="61.5" customHeight="1" x14ac:dyDescent="0.2">
      <c r="A66" s="94" t="s">
        <v>0</v>
      </c>
      <c r="B66" s="94" t="s">
        <v>1</v>
      </c>
      <c r="C66" s="95" t="s">
        <v>3</v>
      </c>
      <c r="D66" s="95" t="s">
        <v>30</v>
      </c>
      <c r="E66" s="95" t="s">
        <v>71</v>
      </c>
      <c r="F66" s="95" t="s">
        <v>70</v>
      </c>
      <c r="G66" s="95" t="s">
        <v>72</v>
      </c>
      <c r="H66" s="95" t="s">
        <v>73</v>
      </c>
      <c r="I66" s="95" t="s">
        <v>74</v>
      </c>
      <c r="J66" s="95" t="s">
        <v>29</v>
      </c>
      <c r="K66" s="95" t="s">
        <v>35</v>
      </c>
      <c r="L66" s="95" t="s">
        <v>4</v>
      </c>
      <c r="M66" s="83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</row>
    <row r="67" spans="1:43" s="4" customFormat="1" ht="48.75" customHeight="1" x14ac:dyDescent="0.25">
      <c r="B67" s="77" t="s">
        <v>61</v>
      </c>
    </row>
    <row r="68" spans="1:43" ht="52.5" customHeight="1" x14ac:dyDescent="0.25">
      <c r="A68" s="127">
        <v>1</v>
      </c>
      <c r="B68" s="74" t="s">
        <v>77</v>
      </c>
      <c r="C68" s="82">
        <v>1950000</v>
      </c>
      <c r="D68" s="60">
        <v>817917.12</v>
      </c>
      <c r="E68" s="60">
        <v>1067736.3400000001</v>
      </c>
      <c r="F68" s="81"/>
      <c r="G68" s="81"/>
      <c r="H68" s="81"/>
      <c r="I68" s="81"/>
      <c r="J68" s="62">
        <f>C68</f>
        <v>1950000</v>
      </c>
      <c r="K68" s="61"/>
      <c r="L68"/>
    </row>
    <row r="69" spans="1:43" ht="45" x14ac:dyDescent="0.25">
      <c r="A69" s="127">
        <v>2</v>
      </c>
      <c r="B69" s="74" t="s">
        <v>62</v>
      </c>
      <c r="C69" s="60">
        <v>120000</v>
      </c>
      <c r="D69" s="59">
        <v>0</v>
      </c>
      <c r="E69" s="60">
        <v>118240</v>
      </c>
      <c r="F69" s="61"/>
      <c r="G69" s="61"/>
      <c r="H69" s="61"/>
      <c r="I69" s="61"/>
      <c r="J69" s="62">
        <f>C69</f>
        <v>120000</v>
      </c>
      <c r="K69" s="61"/>
      <c r="L69"/>
    </row>
    <row r="70" spans="1:43" ht="57" customHeight="1" x14ac:dyDescent="0.25">
      <c r="A70" s="127">
        <v>3</v>
      </c>
      <c r="B70" s="74" t="s">
        <v>66</v>
      </c>
      <c r="C70" s="60">
        <v>2000000</v>
      </c>
      <c r="D70" s="59">
        <v>0</v>
      </c>
      <c r="E70" s="60">
        <v>500000</v>
      </c>
      <c r="F70" s="81">
        <v>400000</v>
      </c>
      <c r="G70" s="81">
        <v>400000</v>
      </c>
      <c r="H70" s="81">
        <v>400000</v>
      </c>
      <c r="I70" s="81">
        <v>300000</v>
      </c>
      <c r="J70" s="62">
        <f>C70</f>
        <v>2000000</v>
      </c>
      <c r="K70" s="81"/>
      <c r="L70"/>
    </row>
    <row r="71" spans="1:43" ht="64.5" customHeight="1" x14ac:dyDescent="0.25">
      <c r="A71" s="71">
        <v>4</v>
      </c>
      <c r="B71" s="74" t="s">
        <v>69</v>
      </c>
      <c r="C71" s="68">
        <v>2500000</v>
      </c>
      <c r="D71" s="68">
        <v>28000</v>
      </c>
      <c r="E71" s="68">
        <v>50000</v>
      </c>
      <c r="F71" s="65">
        <v>1000000</v>
      </c>
      <c r="G71" s="45">
        <f>C71-D71-E71-F71</f>
        <v>1422000</v>
      </c>
      <c r="H71" s="69"/>
      <c r="I71" s="69"/>
      <c r="J71" s="65">
        <f>C71*0.2</f>
        <v>500000</v>
      </c>
      <c r="K71" s="65">
        <f>C71*0.8</f>
        <v>2000000</v>
      </c>
      <c r="L71" s="61"/>
    </row>
    <row r="72" spans="1:43" s="2" customFormat="1" ht="35.25" customHeight="1" x14ac:dyDescent="0.25">
      <c r="A72" s="20"/>
      <c r="B72" s="63" t="s">
        <v>7</v>
      </c>
      <c r="C72" s="58">
        <f t="shared" ref="C72:K72" si="9">SUM(C68:C71)</f>
        <v>6570000</v>
      </c>
      <c r="D72" s="58">
        <f t="shared" si="9"/>
        <v>845917.12</v>
      </c>
      <c r="E72" s="58">
        <f t="shared" si="9"/>
        <v>1735976.34</v>
      </c>
      <c r="F72" s="58">
        <f t="shared" si="9"/>
        <v>1400000</v>
      </c>
      <c r="G72" s="117">
        <f t="shared" si="9"/>
        <v>1822000</v>
      </c>
      <c r="H72" s="58">
        <f t="shared" si="9"/>
        <v>400000</v>
      </c>
      <c r="I72" s="58">
        <f t="shared" si="9"/>
        <v>300000</v>
      </c>
      <c r="J72" s="58">
        <f t="shared" si="9"/>
        <v>4570000</v>
      </c>
      <c r="K72" s="58">
        <f t="shared" si="9"/>
        <v>2000000</v>
      </c>
      <c r="L72" s="21"/>
      <c r="M72" s="3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</row>
    <row r="73" spans="1:43" ht="15" customHeight="1" x14ac:dyDescent="0.25">
      <c r="A73"/>
      <c r="L73"/>
    </row>
    <row r="74" spans="1:43" s="11" customFormat="1" ht="38.25" customHeight="1" x14ac:dyDescent="0.2">
      <c r="A74" s="10"/>
      <c r="B74" s="25" t="s">
        <v>67</v>
      </c>
      <c r="C74" s="115">
        <f t="shared" ref="C74:K74" si="10">C72+C64+C34</f>
        <v>354326441.92000002</v>
      </c>
      <c r="D74" s="115">
        <f t="shared" si="10"/>
        <v>22836516.48</v>
      </c>
      <c r="E74" s="116">
        <f t="shared" si="10"/>
        <v>57163849.439999998</v>
      </c>
      <c r="F74" s="116">
        <f t="shared" si="10"/>
        <v>164952048</v>
      </c>
      <c r="G74" s="116">
        <f t="shared" si="10"/>
        <v>45787220.5</v>
      </c>
      <c r="H74" s="116">
        <f t="shared" si="10"/>
        <v>37569969</v>
      </c>
      <c r="I74" s="116">
        <f t="shared" si="10"/>
        <v>30057171.300000001</v>
      </c>
      <c r="J74" s="115">
        <f t="shared" si="10"/>
        <v>31574852.342</v>
      </c>
      <c r="K74" s="115">
        <f t="shared" si="10"/>
        <v>322751589.57800001</v>
      </c>
      <c r="L74" s="38"/>
      <c r="M74" s="39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ht="18.75" customHeight="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B76" s="142" t="s">
        <v>13</v>
      </c>
      <c r="C76" s="142"/>
      <c r="D76" s="7"/>
      <c r="E76" s="146" t="s">
        <v>10</v>
      </c>
      <c r="F76" s="146"/>
      <c r="G76" s="146"/>
      <c r="H76" s="146"/>
      <c r="I76" s="146"/>
      <c r="J76" s="146"/>
      <c r="K76" s="146"/>
      <c r="L76" s="19"/>
      <c r="M76" s="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ht="18.75" customHeight="1" x14ac:dyDescent="0.25">
      <c r="B77" s="142" t="s">
        <v>12</v>
      </c>
      <c r="C77" s="142"/>
      <c r="D77" s="7"/>
      <c r="E77" s="12"/>
      <c r="F77" s="47"/>
      <c r="G77" s="47"/>
      <c r="H77" s="50"/>
      <c r="I77" s="1" t="s">
        <v>11</v>
      </c>
      <c r="J77" s="49"/>
      <c r="K77" s="49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/>
      <c r="L78"/>
    </row>
    <row r="79" spans="1:43" x14ac:dyDescent="0.25">
      <c r="A79"/>
      <c r="L79"/>
    </row>
    <row r="80" spans="1:43" x14ac:dyDescent="0.25">
      <c r="A80"/>
      <c r="L80"/>
    </row>
    <row r="81" spans="1:12" x14ac:dyDescent="0.25">
      <c r="A81"/>
      <c r="L81"/>
    </row>
    <row r="82" spans="1:12" x14ac:dyDescent="0.25">
      <c r="A82"/>
      <c r="L82"/>
    </row>
    <row r="83" spans="1:12" x14ac:dyDescent="0.25">
      <c r="A83"/>
      <c r="L83"/>
    </row>
    <row r="84" spans="1:12" x14ac:dyDescent="0.25">
      <c r="A84"/>
      <c r="L84"/>
    </row>
    <row r="85" spans="1:12" x14ac:dyDescent="0.25">
      <c r="A85"/>
      <c r="L85"/>
    </row>
    <row r="86" spans="1:12" x14ac:dyDescent="0.25">
      <c r="A86"/>
      <c r="L86"/>
    </row>
    <row r="87" spans="1:12" x14ac:dyDescent="0.25">
      <c r="A87"/>
      <c r="L87"/>
    </row>
    <row r="88" spans="1:12" x14ac:dyDescent="0.25">
      <c r="A88"/>
      <c r="L88"/>
    </row>
    <row r="89" spans="1:12" x14ac:dyDescent="0.25">
      <c r="A89"/>
      <c r="L89"/>
    </row>
    <row r="90" spans="1:12" x14ac:dyDescent="0.25">
      <c r="A90"/>
      <c r="L90"/>
    </row>
    <row r="91" spans="1:12" x14ac:dyDescent="0.25">
      <c r="A91"/>
      <c r="L91"/>
    </row>
    <row r="92" spans="1:12" x14ac:dyDescent="0.25">
      <c r="A92"/>
      <c r="L92"/>
    </row>
    <row r="93" spans="1:12" x14ac:dyDescent="0.25">
      <c r="A93"/>
      <c r="L93"/>
    </row>
    <row r="94" spans="1:12" x14ac:dyDescent="0.25">
      <c r="A94"/>
      <c r="L94"/>
    </row>
    <row r="95" spans="1:12" x14ac:dyDescent="0.25">
      <c r="A95"/>
      <c r="L95"/>
    </row>
    <row r="96" spans="1:12" x14ac:dyDescent="0.25">
      <c r="A96"/>
      <c r="L96"/>
    </row>
  </sheetData>
  <mergeCells count="11">
    <mergeCell ref="B76:C76"/>
    <mergeCell ref="B77:C77"/>
    <mergeCell ref="A37:K37"/>
    <mergeCell ref="E76:K76"/>
    <mergeCell ref="A48:K48"/>
    <mergeCell ref="B2:E2"/>
    <mergeCell ref="B3:C3"/>
    <mergeCell ref="B4:C4"/>
    <mergeCell ref="A8:K8"/>
    <mergeCell ref="A17:K17"/>
    <mergeCell ref="A5:K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Company>drektor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</dc:creator>
  <cp:lastModifiedBy>Antun Srbić</cp:lastModifiedBy>
  <cp:lastPrinted>2022-06-30T10:39:31Z</cp:lastPrinted>
  <dcterms:created xsi:type="dcterms:W3CDTF">2013-06-26T10:53:43Z</dcterms:created>
  <dcterms:modified xsi:type="dcterms:W3CDTF">2022-07-01T05:52:59Z</dcterms:modified>
</cp:coreProperties>
</file>